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xl/drawings/drawing2.xml" ContentType="application/vnd.openxmlformats-officedocument.drawing+xml"/>
  <Override PartName="/xl/embeddings/oleObject5.bin" ContentType="application/vnd.openxmlformats-officedocument.oleObject"/>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X:\Groups\Budget Office\COMMON\Selfsupport\FY21\FY21 Budget Planning\FY21 Form\"/>
    </mc:Choice>
  </mc:AlternateContent>
  <bookViews>
    <workbookView xWindow="0" yWindow="0" windowWidth="25770" windowHeight="16545" tabRatio="903" activeTab="1"/>
  </bookViews>
  <sheets>
    <sheet name="Review" sheetId="40" r:id="rId1"/>
    <sheet name="SUMMARY FORM" sheetId="3" r:id="rId2"/>
    <sheet name="FORM R1" sheetId="29" r:id="rId3"/>
    <sheet name="FORM R2" sheetId="38" r:id="rId4"/>
    <sheet name="FORM E1" sheetId="20" r:id="rId5"/>
    <sheet name="E1 NEW PN" sheetId="56" r:id="rId6"/>
    <sheet name="E1 GRANT" sheetId="52" r:id="rId7"/>
    <sheet name="FORM E2" sheetId="19" r:id="rId8"/>
    <sheet name="E2 NEW PN" sheetId="57" r:id="rId9"/>
    <sheet name="E2 GRANT" sheetId="53" r:id="rId10"/>
    <sheet name="FORM E3" sheetId="7" r:id="rId11"/>
    <sheet name="FORM E4" sheetId="28" r:id="rId12"/>
    <sheet name="FORM N1" sheetId="36" r:id="rId13"/>
    <sheet name="FORM N2" sheetId="50" r:id="rId14"/>
    <sheet name="Budget Office" sheetId="43" state="hidden" r:id="rId15"/>
    <sheet name="EIB Upload" sheetId="51" state="hidden" r:id="rId16"/>
    <sheet name="Rates" sheetId="30" r:id="rId17"/>
    <sheet name="Lists" sheetId="41" state="hidden" r:id="rId18"/>
    <sheet name="MeritSch" sheetId="22" state="hidden" r:id="rId19"/>
    <sheet name="Compsch" sheetId="21" state="hidden" r:id="rId20"/>
    <sheet name="Acct Detail" sheetId="60" state="hidden" r:id="rId21"/>
    <sheet name="Budget Revision Form" sheetId="55" state="hidden" r:id="rId22"/>
  </sheets>
  <definedNames>
    <definedName name="_xlnm._FilterDatabase" localSheetId="20" hidden="1">'Acct Detail'!$A$5:$AZ$781</definedName>
    <definedName name="_xlnm._FilterDatabase" localSheetId="19" hidden="1">Compsch!$A$9:$X$390</definedName>
    <definedName name="_xlnm._FilterDatabase" localSheetId="15" hidden="1">'EIB Upload'!$A$5:$S$27</definedName>
    <definedName name="_Key1" hidden="1">'Budget Revision Form'!$F$27</definedName>
    <definedName name="_Order1" hidden="1">255</definedName>
    <definedName name="_Order2" hidden="1">255</definedName>
    <definedName name="_Regression_Int" localSheetId="21" hidden="1">1</definedName>
    <definedName name="_Sort" hidden="1">'Budget Revision Form'!$F$27:$F$37</definedName>
    <definedName name="CHANGES">Lists!$A$2:$A$11</definedName>
    <definedName name="_xlnm.Print_Area" localSheetId="14">'Budget Office'!$A$1:$L$18</definedName>
    <definedName name="_xlnm.Print_Area" localSheetId="21">'Budget Revision Form'!$B$2:$O$55</definedName>
    <definedName name="_xlnm.Print_Area" localSheetId="6">'E1 GRANT'!$A$1:$AC$22</definedName>
    <definedName name="_xlnm.Print_Area" localSheetId="5">'E1 NEW PN'!$A$1:$S$114</definedName>
    <definedName name="_xlnm.Print_Area" localSheetId="9">'E2 GRANT'!$A$1:$AK$28</definedName>
    <definedName name="_xlnm.Print_Area" localSheetId="8">'E2 NEW PN'!$A$1:$Z$122</definedName>
    <definedName name="_xlnm.Print_Area" localSheetId="4">'FORM E1'!$A$1:$AD$123</definedName>
    <definedName name="_xlnm.Print_Area" localSheetId="7">'FORM E2'!$A$1:$AM$117</definedName>
    <definedName name="_xlnm.Print_Area" localSheetId="10">'FORM E3'!$A$1:$J$41</definedName>
    <definedName name="_xlnm.Print_Area" localSheetId="11">'FORM E4'!$A$1:$E$56</definedName>
    <definedName name="_xlnm.Print_Area" localSheetId="12">'FORM N1'!$A$1:$E$28</definedName>
    <definedName name="_xlnm.Print_Area" localSheetId="13">'FORM N2'!$A$1:$J$30</definedName>
    <definedName name="_xlnm.Print_Area" localSheetId="2">'FORM R1'!$A$1:$H$38</definedName>
    <definedName name="_xlnm.Print_Area" localSheetId="3">'FORM R2'!$A$1:$G$64</definedName>
    <definedName name="_xlnm.Print_Area" localSheetId="16">Rates!$A$255:$O$376</definedName>
    <definedName name="_xlnm.Print_Area" localSheetId="1">'SUMMARY FORM'!$A$2:$Q$90</definedName>
    <definedName name="Print_Area_MI">'Budget Revision Form'!$B$7:$O$51</definedName>
    <definedName name="_xlnm.Print_Titles" localSheetId="6">'E1 GRANT'!$1:$6</definedName>
    <definedName name="_xlnm.Print_Titles" localSheetId="5">'E1 NEW PN'!$1:$6</definedName>
    <definedName name="_xlnm.Print_Titles" localSheetId="9">'E2 GRANT'!$1:$9</definedName>
    <definedName name="_xlnm.Print_Titles" localSheetId="8">'E2 NEW PN'!$1:$9</definedName>
    <definedName name="_xlnm.Print_Titles" localSheetId="4">'FORM E1'!$1:$6</definedName>
    <definedName name="_xlnm.Print_Titles" localSheetId="7">'FORM E2'!$1:$9</definedName>
    <definedName name="_xlnm.Print_Titles" localSheetId="13">'FORM N2'!$6:$10</definedName>
    <definedName name="_xlnm.Print_Titles" localSheetId="16">Rates!$1:$2</definedName>
  </definedNames>
  <calcPr calcId="162913" concurrentCalc="0"/>
</workbook>
</file>

<file path=xl/calcChain.xml><?xml version="1.0" encoding="utf-8"?>
<calcChain xmlns="http://schemas.openxmlformats.org/spreadsheetml/2006/main">
  <c r="AA109" i="19" l="1"/>
  <c r="AB109" i="19"/>
  <c r="AC109" i="19"/>
  <c r="AD109" i="19"/>
  <c r="AE109" i="19"/>
  <c r="AF109" i="19"/>
  <c r="AG109" i="19"/>
  <c r="W109" i="19"/>
  <c r="AI109" i="19"/>
  <c r="AK109" i="19"/>
  <c r="AA108" i="19"/>
  <c r="AB108" i="19"/>
  <c r="AC108" i="19"/>
  <c r="AD108" i="19"/>
  <c r="AE108" i="19"/>
  <c r="AF108" i="19"/>
  <c r="AG108" i="19"/>
  <c r="W108" i="19"/>
  <c r="AI108" i="19"/>
  <c r="AK108" i="19"/>
  <c r="AA107" i="19"/>
  <c r="AB107" i="19"/>
  <c r="AC107" i="19"/>
  <c r="AD107" i="19"/>
  <c r="AE107" i="19"/>
  <c r="AF107" i="19"/>
  <c r="AG107" i="19"/>
  <c r="W107" i="19"/>
  <c r="AI107" i="19"/>
  <c r="AK107" i="19"/>
  <c r="AA106" i="19"/>
  <c r="AB106" i="19"/>
  <c r="AC106" i="19"/>
  <c r="AD106" i="19"/>
  <c r="AE106" i="19"/>
  <c r="AF106" i="19"/>
  <c r="AG106" i="19"/>
  <c r="W106" i="19"/>
  <c r="AI106" i="19"/>
  <c r="AK106" i="19"/>
  <c r="AA105" i="19"/>
  <c r="AB105" i="19"/>
  <c r="AC105" i="19"/>
  <c r="AD105" i="19"/>
  <c r="AE105" i="19"/>
  <c r="AF105" i="19"/>
  <c r="AG105" i="19"/>
  <c r="W105" i="19"/>
  <c r="AI105" i="19"/>
  <c r="AK105" i="19"/>
  <c r="AA104" i="19"/>
  <c r="AB104" i="19"/>
  <c r="AC104" i="19"/>
  <c r="AD104" i="19"/>
  <c r="AE104" i="19"/>
  <c r="AF104" i="19"/>
  <c r="AG104" i="19"/>
  <c r="W104" i="19"/>
  <c r="AI104" i="19"/>
  <c r="AK104" i="19"/>
  <c r="AA103" i="19"/>
  <c r="AB103" i="19"/>
  <c r="AC103" i="19"/>
  <c r="AD103" i="19"/>
  <c r="AE103" i="19"/>
  <c r="AF103" i="19"/>
  <c r="AG103" i="19"/>
  <c r="W103" i="19"/>
  <c r="AI103" i="19"/>
  <c r="AK103" i="19"/>
  <c r="AA102" i="19"/>
  <c r="AB102" i="19"/>
  <c r="AC102" i="19"/>
  <c r="AD102" i="19"/>
  <c r="AE102" i="19"/>
  <c r="AF102" i="19"/>
  <c r="AG102" i="19"/>
  <c r="W102" i="19"/>
  <c r="AI102" i="19"/>
  <c r="AK102" i="19"/>
  <c r="AA101" i="19"/>
  <c r="AB101" i="19"/>
  <c r="AC101" i="19"/>
  <c r="AD101" i="19"/>
  <c r="AE101" i="19"/>
  <c r="AF101" i="19"/>
  <c r="AG101" i="19"/>
  <c r="W101" i="19"/>
  <c r="AI101" i="19"/>
  <c r="AK101" i="19"/>
  <c r="AA100" i="19"/>
  <c r="AB100" i="19"/>
  <c r="AC100" i="19"/>
  <c r="AD100" i="19"/>
  <c r="AE100" i="19"/>
  <c r="AF100" i="19"/>
  <c r="AG100" i="19"/>
  <c r="W100" i="19"/>
  <c r="AI100" i="19"/>
  <c r="AK100" i="19"/>
  <c r="AA99" i="19"/>
  <c r="AB99" i="19"/>
  <c r="AC99" i="19"/>
  <c r="AD99" i="19"/>
  <c r="AE99" i="19"/>
  <c r="AF99" i="19"/>
  <c r="AG99" i="19"/>
  <c r="W99" i="19"/>
  <c r="AI99" i="19"/>
  <c r="AK99" i="19"/>
  <c r="AA98" i="19"/>
  <c r="AB98" i="19"/>
  <c r="AC98" i="19"/>
  <c r="AD98" i="19"/>
  <c r="AE98" i="19"/>
  <c r="AF98" i="19"/>
  <c r="AG98" i="19"/>
  <c r="W98" i="19"/>
  <c r="AI98" i="19"/>
  <c r="AK98" i="19"/>
  <c r="AA97" i="19"/>
  <c r="AB97" i="19"/>
  <c r="AC97" i="19"/>
  <c r="AD97" i="19"/>
  <c r="AE97" i="19"/>
  <c r="AF97" i="19"/>
  <c r="AG97" i="19"/>
  <c r="W97" i="19"/>
  <c r="AI97" i="19"/>
  <c r="AK97" i="19"/>
  <c r="AA96" i="19"/>
  <c r="AB96" i="19"/>
  <c r="AC96" i="19"/>
  <c r="AD96" i="19"/>
  <c r="AE96" i="19"/>
  <c r="AF96" i="19"/>
  <c r="AG96" i="19"/>
  <c r="W96" i="19"/>
  <c r="AI96" i="19"/>
  <c r="AK96" i="19"/>
  <c r="AA95" i="19"/>
  <c r="AB95" i="19"/>
  <c r="AC95" i="19"/>
  <c r="AD95" i="19"/>
  <c r="AE95" i="19"/>
  <c r="AF95" i="19"/>
  <c r="AG95" i="19"/>
  <c r="W95" i="19"/>
  <c r="AI95" i="19"/>
  <c r="AK95" i="19"/>
  <c r="AA94" i="19"/>
  <c r="AB94" i="19"/>
  <c r="AC94" i="19"/>
  <c r="AD94" i="19"/>
  <c r="AE94" i="19"/>
  <c r="AF94" i="19"/>
  <c r="AG94" i="19"/>
  <c r="W94" i="19"/>
  <c r="AI94" i="19"/>
  <c r="AK94" i="19"/>
  <c r="AA93" i="19"/>
  <c r="AB93" i="19"/>
  <c r="AC93" i="19"/>
  <c r="AD93" i="19"/>
  <c r="AE93" i="19"/>
  <c r="AF93" i="19"/>
  <c r="AG93" i="19"/>
  <c r="W93" i="19"/>
  <c r="AI93" i="19"/>
  <c r="AK93" i="19"/>
  <c r="AA92" i="19"/>
  <c r="AB92" i="19"/>
  <c r="AC92" i="19"/>
  <c r="AD92" i="19"/>
  <c r="AE92" i="19"/>
  <c r="AF92" i="19"/>
  <c r="AG92" i="19"/>
  <c r="W92" i="19"/>
  <c r="AI92" i="19"/>
  <c r="AK92" i="19"/>
  <c r="AA91" i="19"/>
  <c r="AB91" i="19"/>
  <c r="AC91" i="19"/>
  <c r="AD91" i="19"/>
  <c r="AE91" i="19"/>
  <c r="AF91" i="19"/>
  <c r="AG91" i="19"/>
  <c r="W91" i="19"/>
  <c r="AI91" i="19"/>
  <c r="AK91" i="19"/>
  <c r="AA90" i="19"/>
  <c r="AB90" i="19"/>
  <c r="AC90" i="19"/>
  <c r="AD90" i="19"/>
  <c r="AE90" i="19"/>
  <c r="AF90" i="19"/>
  <c r="AG90" i="19"/>
  <c r="W90" i="19"/>
  <c r="AI90" i="19"/>
  <c r="AK90" i="19"/>
  <c r="AA89" i="19"/>
  <c r="AB89" i="19"/>
  <c r="AC89" i="19"/>
  <c r="AD89" i="19"/>
  <c r="AE89" i="19"/>
  <c r="AF89" i="19"/>
  <c r="AG89" i="19"/>
  <c r="W89" i="19"/>
  <c r="AI89" i="19"/>
  <c r="AK89" i="19"/>
  <c r="AA88" i="19"/>
  <c r="AB88" i="19"/>
  <c r="AC88" i="19"/>
  <c r="AD88" i="19"/>
  <c r="AE88" i="19"/>
  <c r="AF88" i="19"/>
  <c r="AG88" i="19"/>
  <c r="W88" i="19"/>
  <c r="AI88" i="19"/>
  <c r="AK88" i="19"/>
  <c r="AA87" i="19"/>
  <c r="AB87" i="19"/>
  <c r="AC87" i="19"/>
  <c r="AD87" i="19"/>
  <c r="AE87" i="19"/>
  <c r="AF87" i="19"/>
  <c r="AG87" i="19"/>
  <c r="W87" i="19"/>
  <c r="AI87" i="19"/>
  <c r="AK87" i="19"/>
  <c r="AA86" i="19"/>
  <c r="AB86" i="19"/>
  <c r="AC86" i="19"/>
  <c r="AD86" i="19"/>
  <c r="AE86" i="19"/>
  <c r="AF86" i="19"/>
  <c r="AG86" i="19"/>
  <c r="W86" i="19"/>
  <c r="AI86" i="19"/>
  <c r="AK86" i="19"/>
  <c r="AA85" i="19"/>
  <c r="AB85" i="19"/>
  <c r="AC85" i="19"/>
  <c r="AD85" i="19"/>
  <c r="AE85" i="19"/>
  <c r="AF85" i="19"/>
  <c r="AG85" i="19"/>
  <c r="W85" i="19"/>
  <c r="AI85" i="19"/>
  <c r="AK85" i="19"/>
  <c r="AA84" i="19"/>
  <c r="AB84" i="19"/>
  <c r="AC84" i="19"/>
  <c r="AD84" i="19"/>
  <c r="AE84" i="19"/>
  <c r="AF84" i="19"/>
  <c r="AG84" i="19"/>
  <c r="W84" i="19"/>
  <c r="AI84" i="19"/>
  <c r="AK84" i="19"/>
  <c r="AA83" i="19"/>
  <c r="AB83" i="19"/>
  <c r="AC83" i="19"/>
  <c r="AD83" i="19"/>
  <c r="AE83" i="19"/>
  <c r="AF83" i="19"/>
  <c r="AG83" i="19"/>
  <c r="W83" i="19"/>
  <c r="AI83" i="19"/>
  <c r="AK83" i="19"/>
  <c r="AA82" i="19"/>
  <c r="AB82" i="19"/>
  <c r="AC82" i="19"/>
  <c r="AD82" i="19"/>
  <c r="AE82" i="19"/>
  <c r="AF82" i="19"/>
  <c r="AG82" i="19"/>
  <c r="W82" i="19"/>
  <c r="AI82" i="19"/>
  <c r="AK82" i="19"/>
  <c r="AA81" i="19"/>
  <c r="AB81" i="19"/>
  <c r="AC81" i="19"/>
  <c r="AD81" i="19"/>
  <c r="AE81" i="19"/>
  <c r="AF81" i="19"/>
  <c r="AG81" i="19"/>
  <c r="W81" i="19"/>
  <c r="AI81" i="19"/>
  <c r="AK81" i="19"/>
  <c r="AA80" i="19"/>
  <c r="AB80" i="19"/>
  <c r="AC80" i="19"/>
  <c r="AD80" i="19"/>
  <c r="AE80" i="19"/>
  <c r="AF80" i="19"/>
  <c r="AG80" i="19"/>
  <c r="W80" i="19"/>
  <c r="AI80" i="19"/>
  <c r="AK80" i="19"/>
  <c r="AA79" i="19"/>
  <c r="AB79" i="19"/>
  <c r="AC79" i="19"/>
  <c r="AD79" i="19"/>
  <c r="AE79" i="19"/>
  <c r="AF79" i="19"/>
  <c r="AG79" i="19"/>
  <c r="W79" i="19"/>
  <c r="AI79" i="19"/>
  <c r="AK79" i="19"/>
  <c r="AA78" i="19"/>
  <c r="AB78" i="19"/>
  <c r="AC78" i="19"/>
  <c r="AD78" i="19"/>
  <c r="AE78" i="19"/>
  <c r="AF78" i="19"/>
  <c r="AG78" i="19"/>
  <c r="W78" i="19"/>
  <c r="AI78" i="19"/>
  <c r="AK78" i="19"/>
  <c r="AA77" i="19"/>
  <c r="AB77" i="19"/>
  <c r="AC77" i="19"/>
  <c r="AD77" i="19"/>
  <c r="AE77" i="19"/>
  <c r="AF77" i="19"/>
  <c r="AG77" i="19"/>
  <c r="W77" i="19"/>
  <c r="AI77" i="19"/>
  <c r="AK77" i="19"/>
  <c r="AA76" i="19"/>
  <c r="AB76" i="19"/>
  <c r="AC76" i="19"/>
  <c r="AD76" i="19"/>
  <c r="AE76" i="19"/>
  <c r="AF76" i="19"/>
  <c r="AG76" i="19"/>
  <c r="W76" i="19"/>
  <c r="AI76" i="19"/>
  <c r="AK76" i="19"/>
  <c r="AA75" i="19"/>
  <c r="AB75" i="19"/>
  <c r="AC75" i="19"/>
  <c r="AD75" i="19"/>
  <c r="AE75" i="19"/>
  <c r="AF75" i="19"/>
  <c r="AG75" i="19"/>
  <c r="W75" i="19"/>
  <c r="AI75" i="19"/>
  <c r="AK75" i="19"/>
  <c r="AA74" i="19"/>
  <c r="AB74" i="19"/>
  <c r="AC74" i="19"/>
  <c r="AD74" i="19"/>
  <c r="AE74" i="19"/>
  <c r="AF74" i="19"/>
  <c r="AG74" i="19"/>
  <c r="W74" i="19"/>
  <c r="AI74" i="19"/>
  <c r="AK74" i="19"/>
  <c r="AA73" i="19"/>
  <c r="AB73" i="19"/>
  <c r="AC73" i="19"/>
  <c r="AD73" i="19"/>
  <c r="AE73" i="19"/>
  <c r="AF73" i="19"/>
  <c r="AG73" i="19"/>
  <c r="W73" i="19"/>
  <c r="AI73" i="19"/>
  <c r="AK73" i="19"/>
  <c r="AA72" i="19"/>
  <c r="AB72" i="19"/>
  <c r="AC72" i="19"/>
  <c r="AD72" i="19"/>
  <c r="AE72" i="19"/>
  <c r="AF72" i="19"/>
  <c r="AG72" i="19"/>
  <c r="W72" i="19"/>
  <c r="AI72" i="19"/>
  <c r="AK72" i="19"/>
  <c r="AA71" i="19"/>
  <c r="AB71" i="19"/>
  <c r="AC71" i="19"/>
  <c r="AD71" i="19"/>
  <c r="AE71" i="19"/>
  <c r="AF71" i="19"/>
  <c r="AG71" i="19"/>
  <c r="W71" i="19"/>
  <c r="AI71" i="19"/>
  <c r="AK71" i="19"/>
  <c r="AA70" i="19"/>
  <c r="AB70" i="19"/>
  <c r="AC70" i="19"/>
  <c r="AD70" i="19"/>
  <c r="AE70" i="19"/>
  <c r="AF70" i="19"/>
  <c r="AG70" i="19"/>
  <c r="W70" i="19"/>
  <c r="AI70" i="19"/>
  <c r="AK70" i="19"/>
  <c r="AA69" i="19"/>
  <c r="AB69" i="19"/>
  <c r="AC69" i="19"/>
  <c r="AD69" i="19"/>
  <c r="AE69" i="19"/>
  <c r="AF69" i="19"/>
  <c r="AG69" i="19"/>
  <c r="W69" i="19"/>
  <c r="AI69" i="19"/>
  <c r="AK69" i="19"/>
  <c r="AA68" i="19"/>
  <c r="AB68" i="19"/>
  <c r="AC68" i="19"/>
  <c r="AD68" i="19"/>
  <c r="AE68" i="19"/>
  <c r="AF68" i="19"/>
  <c r="AG68" i="19"/>
  <c r="W68" i="19"/>
  <c r="AI68" i="19"/>
  <c r="AK68" i="19"/>
  <c r="AA67" i="19"/>
  <c r="AB67" i="19"/>
  <c r="AC67" i="19"/>
  <c r="AD67" i="19"/>
  <c r="AE67" i="19"/>
  <c r="AF67" i="19"/>
  <c r="AG67" i="19"/>
  <c r="W67" i="19"/>
  <c r="AI67" i="19"/>
  <c r="AK67" i="19"/>
  <c r="AA66" i="19"/>
  <c r="AB66" i="19"/>
  <c r="AC66" i="19"/>
  <c r="AD66" i="19"/>
  <c r="AE66" i="19"/>
  <c r="AF66" i="19"/>
  <c r="AG66" i="19"/>
  <c r="W66" i="19"/>
  <c r="AI66" i="19"/>
  <c r="AK66" i="19"/>
  <c r="AA65" i="19"/>
  <c r="AB65" i="19"/>
  <c r="AC65" i="19"/>
  <c r="AD65" i="19"/>
  <c r="AE65" i="19"/>
  <c r="AF65" i="19"/>
  <c r="AG65" i="19"/>
  <c r="W65" i="19"/>
  <c r="AI65" i="19"/>
  <c r="AK65" i="19"/>
  <c r="AA64" i="19"/>
  <c r="AB64" i="19"/>
  <c r="AC64" i="19"/>
  <c r="AD64" i="19"/>
  <c r="AE64" i="19"/>
  <c r="AF64" i="19"/>
  <c r="AG64" i="19"/>
  <c r="W64" i="19"/>
  <c r="AI64" i="19"/>
  <c r="AK64" i="19"/>
  <c r="AA63" i="19"/>
  <c r="AB63" i="19"/>
  <c r="AC63" i="19"/>
  <c r="AD63" i="19"/>
  <c r="AE63" i="19"/>
  <c r="AF63" i="19"/>
  <c r="AG63" i="19"/>
  <c r="W63" i="19"/>
  <c r="AI63" i="19"/>
  <c r="AK63" i="19"/>
  <c r="AA62" i="19"/>
  <c r="AB62" i="19"/>
  <c r="AC62" i="19"/>
  <c r="AD62" i="19"/>
  <c r="AE62" i="19"/>
  <c r="AF62" i="19"/>
  <c r="AG62" i="19"/>
  <c r="W62" i="19"/>
  <c r="AI62" i="19"/>
  <c r="AK62" i="19"/>
  <c r="AA61" i="19"/>
  <c r="AB61" i="19"/>
  <c r="AC61" i="19"/>
  <c r="AD61" i="19"/>
  <c r="AE61" i="19"/>
  <c r="AF61" i="19"/>
  <c r="AG61" i="19"/>
  <c r="W61" i="19"/>
  <c r="AI61" i="19"/>
  <c r="AK61" i="19"/>
  <c r="AA60" i="19"/>
  <c r="AB60" i="19"/>
  <c r="AC60" i="19"/>
  <c r="AD60" i="19"/>
  <c r="AE60" i="19"/>
  <c r="AF60" i="19"/>
  <c r="AG60" i="19"/>
  <c r="W60" i="19"/>
  <c r="AI60" i="19"/>
  <c r="AK60" i="19"/>
  <c r="AA59" i="19"/>
  <c r="AB59" i="19"/>
  <c r="AC59" i="19"/>
  <c r="AD59" i="19"/>
  <c r="AE59" i="19"/>
  <c r="AF59" i="19"/>
  <c r="AG59" i="19"/>
  <c r="W59" i="19"/>
  <c r="AI59" i="19"/>
  <c r="AK59" i="19"/>
  <c r="AA58" i="19"/>
  <c r="AB58" i="19"/>
  <c r="AC58" i="19"/>
  <c r="AD58" i="19"/>
  <c r="AE58" i="19"/>
  <c r="AF58" i="19"/>
  <c r="AG58" i="19"/>
  <c r="W58" i="19"/>
  <c r="AI58" i="19"/>
  <c r="AK58" i="19"/>
  <c r="AA57" i="19"/>
  <c r="AB57" i="19"/>
  <c r="AC57" i="19"/>
  <c r="AD57" i="19"/>
  <c r="AE57" i="19"/>
  <c r="AF57" i="19"/>
  <c r="AG57" i="19"/>
  <c r="W57" i="19"/>
  <c r="AI57" i="19"/>
  <c r="AK57" i="19"/>
  <c r="AA56" i="19"/>
  <c r="AB56" i="19"/>
  <c r="AC56" i="19"/>
  <c r="AD56" i="19"/>
  <c r="AE56" i="19"/>
  <c r="AF56" i="19"/>
  <c r="AG56" i="19"/>
  <c r="W56" i="19"/>
  <c r="AI56" i="19"/>
  <c r="AK56" i="19"/>
  <c r="AA55" i="19"/>
  <c r="AB55" i="19"/>
  <c r="AC55" i="19"/>
  <c r="AD55" i="19"/>
  <c r="AE55" i="19"/>
  <c r="AF55" i="19"/>
  <c r="AG55" i="19"/>
  <c r="W55" i="19"/>
  <c r="AI55" i="19"/>
  <c r="AK55" i="19"/>
  <c r="AA54" i="19"/>
  <c r="AB54" i="19"/>
  <c r="AC54" i="19"/>
  <c r="AD54" i="19"/>
  <c r="AE54" i="19"/>
  <c r="AF54" i="19"/>
  <c r="AG54" i="19"/>
  <c r="W54" i="19"/>
  <c r="AI54" i="19"/>
  <c r="AK54" i="19"/>
  <c r="AA53" i="19"/>
  <c r="AB53" i="19"/>
  <c r="AC53" i="19"/>
  <c r="AD53" i="19"/>
  <c r="AE53" i="19"/>
  <c r="AF53" i="19"/>
  <c r="AG53" i="19"/>
  <c r="W53" i="19"/>
  <c r="AI53" i="19"/>
  <c r="AK53" i="19"/>
  <c r="AA52" i="19"/>
  <c r="AB52" i="19"/>
  <c r="AC52" i="19"/>
  <c r="AD52" i="19"/>
  <c r="AE52" i="19"/>
  <c r="AF52" i="19"/>
  <c r="AG52" i="19"/>
  <c r="W52" i="19"/>
  <c r="AI52" i="19"/>
  <c r="AK52" i="19"/>
  <c r="AA51" i="19"/>
  <c r="AB51" i="19"/>
  <c r="AC51" i="19"/>
  <c r="AD51" i="19"/>
  <c r="AE51" i="19"/>
  <c r="AF51" i="19"/>
  <c r="AG51" i="19"/>
  <c r="W51" i="19"/>
  <c r="AI51" i="19"/>
  <c r="AK51" i="19"/>
  <c r="AA50" i="19"/>
  <c r="AB50" i="19"/>
  <c r="AC50" i="19"/>
  <c r="AD50" i="19"/>
  <c r="AE50" i="19"/>
  <c r="AF50" i="19"/>
  <c r="AG50" i="19"/>
  <c r="W50" i="19"/>
  <c r="AI50" i="19"/>
  <c r="AK50" i="19"/>
  <c r="AA49" i="19"/>
  <c r="AB49" i="19"/>
  <c r="AC49" i="19"/>
  <c r="AD49" i="19"/>
  <c r="AE49" i="19"/>
  <c r="AF49" i="19"/>
  <c r="AG49" i="19"/>
  <c r="W49" i="19"/>
  <c r="AI49" i="19"/>
  <c r="AK49" i="19"/>
  <c r="AA48" i="19"/>
  <c r="AB48" i="19"/>
  <c r="AC48" i="19"/>
  <c r="AD48" i="19"/>
  <c r="AE48" i="19"/>
  <c r="AF48" i="19"/>
  <c r="AG48" i="19"/>
  <c r="W48" i="19"/>
  <c r="AI48" i="19"/>
  <c r="AK48" i="19"/>
  <c r="AA47" i="19"/>
  <c r="AB47" i="19"/>
  <c r="AC47" i="19"/>
  <c r="AD47" i="19"/>
  <c r="AE47" i="19"/>
  <c r="AF47" i="19"/>
  <c r="AG47" i="19"/>
  <c r="W47" i="19"/>
  <c r="AI47" i="19"/>
  <c r="AK47" i="19"/>
  <c r="AA46" i="19"/>
  <c r="AB46" i="19"/>
  <c r="AC46" i="19"/>
  <c r="AD46" i="19"/>
  <c r="AE46" i="19"/>
  <c r="AF46" i="19"/>
  <c r="AG46" i="19"/>
  <c r="W46" i="19"/>
  <c r="AI46" i="19"/>
  <c r="AK46" i="19"/>
  <c r="AA45" i="19"/>
  <c r="AB45" i="19"/>
  <c r="AC45" i="19"/>
  <c r="AD45" i="19"/>
  <c r="AE45" i="19"/>
  <c r="AF45" i="19"/>
  <c r="AG45" i="19"/>
  <c r="W45" i="19"/>
  <c r="AI45" i="19"/>
  <c r="AK45" i="19"/>
  <c r="AA44" i="19"/>
  <c r="AB44" i="19"/>
  <c r="AC44" i="19"/>
  <c r="AD44" i="19"/>
  <c r="AE44" i="19"/>
  <c r="AF44" i="19"/>
  <c r="AG44" i="19"/>
  <c r="W44" i="19"/>
  <c r="AI44" i="19"/>
  <c r="AK44" i="19"/>
  <c r="AA43" i="19"/>
  <c r="AB43" i="19"/>
  <c r="AC43" i="19"/>
  <c r="AD43" i="19"/>
  <c r="AE43" i="19"/>
  <c r="AF43" i="19"/>
  <c r="AG43" i="19"/>
  <c r="W43" i="19"/>
  <c r="AI43" i="19"/>
  <c r="AK43" i="19"/>
  <c r="AA42" i="19"/>
  <c r="AB42" i="19"/>
  <c r="AC42" i="19"/>
  <c r="AD42" i="19"/>
  <c r="AE42" i="19"/>
  <c r="AF42" i="19"/>
  <c r="AG42" i="19"/>
  <c r="W42" i="19"/>
  <c r="AI42" i="19"/>
  <c r="AK42" i="19"/>
  <c r="AA41" i="19"/>
  <c r="AB41" i="19"/>
  <c r="AC41" i="19"/>
  <c r="AD41" i="19"/>
  <c r="AE41" i="19"/>
  <c r="AF41" i="19"/>
  <c r="AG41" i="19"/>
  <c r="W41" i="19"/>
  <c r="AI41" i="19"/>
  <c r="AK41" i="19"/>
  <c r="AA40" i="19"/>
  <c r="AB40" i="19"/>
  <c r="AC40" i="19"/>
  <c r="AD40" i="19"/>
  <c r="AE40" i="19"/>
  <c r="AF40" i="19"/>
  <c r="AG40" i="19"/>
  <c r="W40" i="19"/>
  <c r="AI40" i="19"/>
  <c r="AK40" i="19"/>
  <c r="AA39" i="19"/>
  <c r="AB39" i="19"/>
  <c r="AC39" i="19"/>
  <c r="AD39" i="19"/>
  <c r="AE39" i="19"/>
  <c r="AF39" i="19"/>
  <c r="AG39" i="19"/>
  <c r="W39" i="19"/>
  <c r="AI39" i="19"/>
  <c r="AK39" i="19"/>
  <c r="AA38" i="19"/>
  <c r="AB38" i="19"/>
  <c r="AC38" i="19"/>
  <c r="AD38" i="19"/>
  <c r="AE38" i="19"/>
  <c r="AF38" i="19"/>
  <c r="AG38" i="19"/>
  <c r="W38" i="19"/>
  <c r="AI38" i="19"/>
  <c r="AK38" i="19"/>
  <c r="AA37" i="19"/>
  <c r="AB37" i="19"/>
  <c r="AC37" i="19"/>
  <c r="AD37" i="19"/>
  <c r="AE37" i="19"/>
  <c r="AF37" i="19"/>
  <c r="AG37" i="19"/>
  <c r="W37" i="19"/>
  <c r="AI37" i="19"/>
  <c r="AK37" i="19"/>
  <c r="AA36" i="19"/>
  <c r="AB36" i="19"/>
  <c r="AC36" i="19"/>
  <c r="AD36" i="19"/>
  <c r="AE36" i="19"/>
  <c r="AF36" i="19"/>
  <c r="AG36" i="19"/>
  <c r="W36" i="19"/>
  <c r="AI36" i="19"/>
  <c r="AK36" i="19"/>
  <c r="AA35" i="19"/>
  <c r="AB35" i="19"/>
  <c r="AC35" i="19"/>
  <c r="AD35" i="19"/>
  <c r="AE35" i="19"/>
  <c r="AF35" i="19"/>
  <c r="AG35" i="19"/>
  <c r="W35" i="19"/>
  <c r="AI35" i="19"/>
  <c r="AK35" i="19"/>
  <c r="AA34" i="19"/>
  <c r="AB34" i="19"/>
  <c r="AC34" i="19"/>
  <c r="AD34" i="19"/>
  <c r="AE34" i="19"/>
  <c r="AF34" i="19"/>
  <c r="AG34" i="19"/>
  <c r="W34" i="19"/>
  <c r="AI34" i="19"/>
  <c r="AK34" i="19"/>
  <c r="AA33" i="19"/>
  <c r="AB33" i="19"/>
  <c r="AC33" i="19"/>
  <c r="AD33" i="19"/>
  <c r="AE33" i="19"/>
  <c r="AF33" i="19"/>
  <c r="AG33" i="19"/>
  <c r="W33" i="19"/>
  <c r="AI33" i="19"/>
  <c r="AK33" i="19"/>
  <c r="AA32" i="19"/>
  <c r="AB32" i="19"/>
  <c r="AC32" i="19"/>
  <c r="AD32" i="19"/>
  <c r="AE32" i="19"/>
  <c r="AF32" i="19"/>
  <c r="AG32" i="19"/>
  <c r="W32" i="19"/>
  <c r="AI32" i="19"/>
  <c r="AK32" i="19"/>
  <c r="AA31" i="19"/>
  <c r="AB31" i="19"/>
  <c r="AC31" i="19"/>
  <c r="AD31" i="19"/>
  <c r="AE31" i="19"/>
  <c r="AF31" i="19"/>
  <c r="AG31" i="19"/>
  <c r="W31" i="19"/>
  <c r="AI31" i="19"/>
  <c r="AK31" i="19"/>
  <c r="AA30" i="19"/>
  <c r="AB30" i="19"/>
  <c r="AC30" i="19"/>
  <c r="AD30" i="19"/>
  <c r="AE30" i="19"/>
  <c r="AF30" i="19"/>
  <c r="AG30" i="19"/>
  <c r="W30" i="19"/>
  <c r="AI30" i="19"/>
  <c r="AK30" i="19"/>
  <c r="AA29" i="19"/>
  <c r="AB29" i="19"/>
  <c r="AC29" i="19"/>
  <c r="AD29" i="19"/>
  <c r="AE29" i="19"/>
  <c r="AF29" i="19"/>
  <c r="AG29" i="19"/>
  <c r="W29" i="19"/>
  <c r="AI29" i="19"/>
  <c r="AK29" i="19"/>
  <c r="AA28" i="19"/>
  <c r="AB28" i="19"/>
  <c r="AC28" i="19"/>
  <c r="AD28" i="19"/>
  <c r="AE28" i="19"/>
  <c r="AF28" i="19"/>
  <c r="AG28" i="19"/>
  <c r="W28" i="19"/>
  <c r="AI28" i="19"/>
  <c r="AK28" i="19"/>
  <c r="AA27" i="19"/>
  <c r="AB27" i="19"/>
  <c r="AC27" i="19"/>
  <c r="AD27" i="19"/>
  <c r="AE27" i="19"/>
  <c r="AF27" i="19"/>
  <c r="AG27" i="19"/>
  <c r="W27" i="19"/>
  <c r="AI27" i="19"/>
  <c r="AK27" i="19"/>
  <c r="AA26" i="19"/>
  <c r="AB26" i="19"/>
  <c r="AC26" i="19"/>
  <c r="AD26" i="19"/>
  <c r="AE26" i="19"/>
  <c r="AF26" i="19"/>
  <c r="AG26" i="19"/>
  <c r="W26" i="19"/>
  <c r="AI26" i="19"/>
  <c r="AK26" i="19"/>
  <c r="AA25" i="19"/>
  <c r="AB25" i="19"/>
  <c r="AC25" i="19"/>
  <c r="AD25" i="19"/>
  <c r="AE25" i="19"/>
  <c r="AF25" i="19"/>
  <c r="AG25" i="19"/>
  <c r="W25" i="19"/>
  <c r="AI25" i="19"/>
  <c r="AK25" i="19"/>
  <c r="AK24" i="19"/>
  <c r="AA24" i="19"/>
  <c r="AB24" i="19"/>
  <c r="AC24" i="19"/>
  <c r="AD24" i="19"/>
  <c r="AE24" i="19"/>
  <c r="AF24" i="19"/>
  <c r="AG24" i="19"/>
  <c r="W24" i="19"/>
  <c r="AI24" i="19"/>
  <c r="AB23" i="19"/>
  <c r="AC23" i="19"/>
  <c r="AD23" i="19"/>
  <c r="AE23" i="19"/>
  <c r="AF23" i="19"/>
  <c r="AG23" i="19"/>
  <c r="AI23" i="19"/>
  <c r="AK23" i="19"/>
  <c r="AB22" i="19"/>
  <c r="AC22" i="19"/>
  <c r="AD22" i="19"/>
  <c r="AE22" i="19"/>
  <c r="AF22" i="19"/>
  <c r="AG22" i="19"/>
  <c r="AI22" i="19"/>
  <c r="AK22" i="19"/>
  <c r="AB21" i="19"/>
  <c r="AC21" i="19"/>
  <c r="AD21" i="19"/>
  <c r="AE21" i="19"/>
  <c r="AF21" i="19"/>
  <c r="AG21" i="19"/>
  <c r="AI21" i="19"/>
  <c r="AK21" i="19"/>
  <c r="AB20" i="19"/>
  <c r="AC20" i="19"/>
  <c r="AD20" i="19"/>
  <c r="AE20" i="19"/>
  <c r="AF20" i="19"/>
  <c r="AG20" i="19"/>
  <c r="AI20" i="19"/>
  <c r="AK20" i="19"/>
  <c r="AB19" i="19"/>
  <c r="AC19" i="19"/>
  <c r="AD19" i="19"/>
  <c r="AE19" i="19"/>
  <c r="AF19" i="19"/>
  <c r="AG19" i="19"/>
  <c r="AI19" i="19"/>
  <c r="AK19" i="19"/>
  <c r="AB18" i="19"/>
  <c r="AC18" i="19"/>
  <c r="AD18" i="19"/>
  <c r="AE18" i="19"/>
  <c r="AF18" i="19"/>
  <c r="AG18" i="19"/>
  <c r="AI18" i="19"/>
  <c r="AK18" i="19"/>
  <c r="AB17" i="19"/>
  <c r="AC17" i="19"/>
  <c r="AD17" i="19"/>
  <c r="AE17" i="19"/>
  <c r="AF17" i="19"/>
  <c r="AG17" i="19"/>
  <c r="AI17" i="19"/>
  <c r="AK17" i="19"/>
  <c r="AB16" i="19"/>
  <c r="AC16" i="19"/>
  <c r="AD16" i="19"/>
  <c r="AE16" i="19"/>
  <c r="AF16" i="19"/>
  <c r="AG16" i="19"/>
  <c r="AI16" i="19"/>
  <c r="AK16" i="19"/>
  <c r="AB15" i="19"/>
  <c r="AC15" i="19"/>
  <c r="AD15" i="19"/>
  <c r="AE15" i="19"/>
  <c r="AF15" i="19"/>
  <c r="AG15" i="19"/>
  <c r="AI15" i="19"/>
  <c r="AK15" i="19"/>
  <c r="AB14" i="19"/>
  <c r="AC14" i="19"/>
  <c r="AD14" i="19"/>
  <c r="AE14" i="19"/>
  <c r="AF14" i="19"/>
  <c r="AG14" i="19"/>
  <c r="AI14" i="19"/>
  <c r="AK14" i="19"/>
  <c r="AB13" i="19"/>
  <c r="AC13" i="19"/>
  <c r="AD13" i="19"/>
  <c r="AE13" i="19"/>
  <c r="AF13" i="19"/>
  <c r="AG13" i="19"/>
  <c r="AI13" i="19"/>
  <c r="AK13" i="19"/>
  <c r="AB12" i="19"/>
  <c r="AC12" i="19"/>
  <c r="AD12" i="19"/>
  <c r="AE12" i="19"/>
  <c r="AF12" i="19"/>
  <c r="AG12" i="19"/>
  <c r="AI12" i="19"/>
  <c r="AK12" i="19"/>
  <c r="AB11" i="19"/>
  <c r="AC11" i="19"/>
  <c r="AF11" i="19"/>
  <c r="AG11" i="19"/>
  <c r="AI11" i="19"/>
  <c r="AK11" i="19"/>
  <c r="AB10" i="19"/>
  <c r="AC10" i="19"/>
  <c r="AF10" i="19"/>
  <c r="AG10" i="19"/>
  <c r="AI10" i="19"/>
  <c r="AK10" i="19"/>
  <c r="AK116" i="19"/>
  <c r="N39" i="3"/>
  <c r="AL11" i="19"/>
  <c r="AM11" i="19"/>
  <c r="AL12" i="19"/>
  <c r="AM12" i="19"/>
  <c r="AL13" i="19"/>
  <c r="AM13" i="19"/>
  <c r="AL14" i="19"/>
  <c r="AM14" i="19"/>
  <c r="AL15" i="19"/>
  <c r="AM15" i="19"/>
  <c r="AL16" i="19"/>
  <c r="AM16" i="19"/>
  <c r="AL17" i="19"/>
  <c r="AM17" i="19"/>
  <c r="AL18" i="19"/>
  <c r="AM18" i="19"/>
  <c r="AL19" i="19"/>
  <c r="AM19" i="19"/>
  <c r="AL20" i="19"/>
  <c r="AM20" i="19"/>
  <c r="AL21" i="19"/>
  <c r="AM21" i="19"/>
  <c r="AL22" i="19"/>
  <c r="AM22" i="19"/>
  <c r="AL23" i="19"/>
  <c r="AM23" i="19"/>
  <c r="AL24" i="19"/>
  <c r="AM24" i="19"/>
  <c r="AL10" i="19"/>
  <c r="AM10" i="19"/>
  <c r="AL25" i="19"/>
  <c r="AM25" i="19"/>
  <c r="AL26" i="19"/>
  <c r="AM26" i="19"/>
  <c r="AL27" i="19"/>
  <c r="AM27" i="19"/>
  <c r="AL28" i="19"/>
  <c r="AM28" i="19"/>
  <c r="AL29" i="19"/>
  <c r="AM29" i="19"/>
  <c r="AL30" i="19"/>
  <c r="AM30" i="19"/>
  <c r="AL31" i="19"/>
  <c r="AM31" i="19"/>
  <c r="AL32" i="19"/>
  <c r="AM32" i="19"/>
  <c r="AL33" i="19"/>
  <c r="AM33" i="19"/>
  <c r="AL34" i="19"/>
  <c r="AM34" i="19"/>
  <c r="AL35" i="19"/>
  <c r="AM35" i="19"/>
  <c r="AL36" i="19"/>
  <c r="AM36" i="19"/>
  <c r="AL37" i="19"/>
  <c r="AM37" i="19"/>
  <c r="AL38" i="19"/>
  <c r="AM38" i="19"/>
  <c r="AL39" i="19"/>
  <c r="AM39" i="19"/>
  <c r="AL40" i="19"/>
  <c r="AM40" i="19"/>
  <c r="AL41" i="19"/>
  <c r="AM41" i="19"/>
  <c r="AL42" i="19"/>
  <c r="AM42" i="19"/>
  <c r="AL43" i="19"/>
  <c r="AM43" i="19"/>
  <c r="AL44" i="19"/>
  <c r="AM44" i="19"/>
  <c r="AL45" i="19"/>
  <c r="AM45" i="19"/>
  <c r="AL46" i="19"/>
  <c r="AM46" i="19"/>
  <c r="AL47" i="19"/>
  <c r="AM47" i="19"/>
  <c r="AL48" i="19"/>
  <c r="AM48" i="19"/>
  <c r="AL49" i="19"/>
  <c r="AM49" i="19"/>
  <c r="AL50" i="19"/>
  <c r="AM50" i="19"/>
  <c r="AL51" i="19"/>
  <c r="AM51" i="19"/>
  <c r="AL52" i="19"/>
  <c r="AM52" i="19"/>
  <c r="AL53" i="19"/>
  <c r="AM53" i="19"/>
  <c r="AL54" i="19"/>
  <c r="AM54" i="19"/>
  <c r="AL55" i="19"/>
  <c r="AM55" i="19"/>
  <c r="AL56" i="19"/>
  <c r="AM56" i="19"/>
  <c r="AL57" i="19"/>
  <c r="AM57" i="19"/>
  <c r="AL58" i="19"/>
  <c r="AM58" i="19"/>
  <c r="AL59" i="19"/>
  <c r="AM59" i="19"/>
  <c r="AL60" i="19"/>
  <c r="AM60" i="19"/>
  <c r="AL61" i="19"/>
  <c r="AM61" i="19"/>
  <c r="AL62" i="19"/>
  <c r="AM62" i="19"/>
  <c r="AL63" i="19"/>
  <c r="AM63" i="19"/>
  <c r="AL64" i="19"/>
  <c r="AM64" i="19"/>
  <c r="AL65" i="19"/>
  <c r="AM65" i="19"/>
  <c r="AL66" i="19"/>
  <c r="AM66" i="19"/>
  <c r="AL67" i="19"/>
  <c r="AM67" i="19"/>
  <c r="AL68" i="19"/>
  <c r="AM68" i="19"/>
  <c r="AL69" i="19"/>
  <c r="AM69" i="19"/>
  <c r="AL70" i="19"/>
  <c r="AM70" i="19"/>
  <c r="AL71" i="19"/>
  <c r="AM71" i="19"/>
  <c r="AL72" i="19"/>
  <c r="AM72" i="19"/>
  <c r="AL73" i="19"/>
  <c r="AM73" i="19"/>
  <c r="AL74" i="19"/>
  <c r="AM74" i="19"/>
  <c r="AL75" i="19"/>
  <c r="AM75" i="19"/>
  <c r="AL76" i="19"/>
  <c r="AM76" i="19"/>
  <c r="AL77" i="19"/>
  <c r="AM77" i="19"/>
  <c r="AL78" i="19"/>
  <c r="AM78" i="19"/>
  <c r="AL79" i="19"/>
  <c r="AM79" i="19"/>
  <c r="AL80" i="19"/>
  <c r="AM80" i="19"/>
  <c r="AL81" i="19"/>
  <c r="AM81" i="19"/>
  <c r="AL82" i="19"/>
  <c r="AM82" i="19"/>
  <c r="AL83" i="19"/>
  <c r="AM83" i="19"/>
  <c r="AL84" i="19"/>
  <c r="AM84" i="19"/>
  <c r="AL85" i="19"/>
  <c r="AM85" i="19"/>
  <c r="AL86" i="19"/>
  <c r="AM86" i="19"/>
  <c r="AL87" i="19"/>
  <c r="AM87" i="19"/>
  <c r="AL88" i="19"/>
  <c r="AM88" i="19"/>
  <c r="AL89" i="19"/>
  <c r="AM89" i="19"/>
  <c r="AL90" i="19"/>
  <c r="AM90" i="19"/>
  <c r="AL91" i="19"/>
  <c r="AM91" i="19"/>
  <c r="AL92" i="19"/>
  <c r="AM92" i="19"/>
  <c r="AL93" i="19"/>
  <c r="AM93" i="19"/>
  <c r="AL94" i="19"/>
  <c r="AM94" i="19"/>
  <c r="AL95" i="19"/>
  <c r="AM95" i="19"/>
  <c r="AL96" i="19"/>
  <c r="AM96" i="19"/>
  <c r="AL97" i="19"/>
  <c r="AM97" i="19"/>
  <c r="AL98" i="19"/>
  <c r="AM98" i="19"/>
  <c r="AL99" i="19"/>
  <c r="AM99" i="19"/>
  <c r="AL100" i="19"/>
  <c r="AM100" i="19"/>
  <c r="AL101" i="19"/>
  <c r="AM101" i="19"/>
  <c r="AL102" i="19"/>
  <c r="AM102" i="19"/>
  <c r="AL103" i="19"/>
  <c r="AM103" i="19"/>
  <c r="AL104" i="19"/>
  <c r="AM104" i="19"/>
  <c r="AL105" i="19"/>
  <c r="AM105" i="19"/>
  <c r="AL106" i="19"/>
  <c r="AM106" i="19"/>
  <c r="AL107" i="19"/>
  <c r="AM107" i="19"/>
  <c r="AL108" i="19"/>
  <c r="AM108" i="19"/>
  <c r="AL109" i="19"/>
  <c r="AM109" i="19"/>
  <c r="AL110" i="19"/>
  <c r="AM110" i="19"/>
  <c r="AM116" i="19"/>
  <c r="N43" i="3"/>
  <c r="Q11" i="19"/>
  <c r="R11" i="19"/>
  <c r="Q14" i="19"/>
  <c r="R14" i="19"/>
  <c r="Q15" i="19"/>
  <c r="R15" i="19"/>
  <c r="Q16" i="19"/>
  <c r="R16" i="19"/>
  <c r="Q17" i="19"/>
  <c r="R17" i="19"/>
  <c r="Q18" i="19"/>
  <c r="R18" i="19"/>
  <c r="Q19" i="19"/>
  <c r="R19" i="19"/>
  <c r="Q20" i="19"/>
  <c r="R20" i="19"/>
  <c r="Q21" i="19"/>
  <c r="R21" i="19"/>
  <c r="Q22" i="19"/>
  <c r="R22" i="19"/>
  <c r="Q23" i="19"/>
  <c r="R23" i="19"/>
  <c r="O24" i="19"/>
  <c r="P24" i="19"/>
  <c r="K24" i="19"/>
  <c r="Q24" i="19"/>
  <c r="R24" i="19"/>
  <c r="O25" i="19"/>
  <c r="P25" i="19"/>
  <c r="K25" i="19"/>
  <c r="Q25" i="19"/>
  <c r="R25" i="19"/>
  <c r="O26" i="19"/>
  <c r="P26" i="19"/>
  <c r="K26" i="19"/>
  <c r="Q26" i="19"/>
  <c r="R26" i="19"/>
  <c r="O27" i="19"/>
  <c r="P27" i="19"/>
  <c r="K27" i="19"/>
  <c r="Q27" i="19"/>
  <c r="R27" i="19"/>
  <c r="O28" i="19"/>
  <c r="P28" i="19"/>
  <c r="K28" i="19"/>
  <c r="Q28" i="19"/>
  <c r="R28" i="19"/>
  <c r="O29" i="19"/>
  <c r="P29" i="19"/>
  <c r="K29" i="19"/>
  <c r="Q29" i="19"/>
  <c r="R29" i="19"/>
  <c r="O30" i="19"/>
  <c r="P30" i="19"/>
  <c r="K30" i="19"/>
  <c r="Q30" i="19"/>
  <c r="R30" i="19"/>
  <c r="O31" i="19"/>
  <c r="P31" i="19"/>
  <c r="K31" i="19"/>
  <c r="Q31" i="19"/>
  <c r="R31" i="19"/>
  <c r="O32" i="19"/>
  <c r="P32" i="19"/>
  <c r="K32" i="19"/>
  <c r="Q32" i="19"/>
  <c r="R32" i="19"/>
  <c r="O33" i="19"/>
  <c r="P33" i="19"/>
  <c r="K33" i="19"/>
  <c r="Q33" i="19"/>
  <c r="R33" i="19"/>
  <c r="O34" i="19"/>
  <c r="P34" i="19"/>
  <c r="K34" i="19"/>
  <c r="Q34" i="19"/>
  <c r="R34" i="19"/>
  <c r="O35" i="19"/>
  <c r="P35" i="19"/>
  <c r="K35" i="19"/>
  <c r="Q35" i="19"/>
  <c r="R35" i="19"/>
  <c r="O36" i="19"/>
  <c r="P36" i="19"/>
  <c r="K36" i="19"/>
  <c r="Q36" i="19"/>
  <c r="R36" i="19"/>
  <c r="O37" i="19"/>
  <c r="P37" i="19"/>
  <c r="K37" i="19"/>
  <c r="Q37" i="19"/>
  <c r="R37" i="19"/>
  <c r="O38" i="19"/>
  <c r="P38" i="19"/>
  <c r="K38" i="19"/>
  <c r="Q38" i="19"/>
  <c r="R38" i="19"/>
  <c r="O39" i="19"/>
  <c r="P39" i="19"/>
  <c r="K39" i="19"/>
  <c r="Q39" i="19"/>
  <c r="R39" i="19"/>
  <c r="O40" i="19"/>
  <c r="P40" i="19"/>
  <c r="K40" i="19"/>
  <c r="Q40" i="19"/>
  <c r="R40" i="19"/>
  <c r="O41" i="19"/>
  <c r="P41" i="19"/>
  <c r="K41" i="19"/>
  <c r="Q41" i="19"/>
  <c r="R41" i="19"/>
  <c r="O42" i="19"/>
  <c r="P42" i="19"/>
  <c r="K42" i="19"/>
  <c r="Q42" i="19"/>
  <c r="R42" i="19"/>
  <c r="O43" i="19"/>
  <c r="P43" i="19"/>
  <c r="K43" i="19"/>
  <c r="Q43" i="19"/>
  <c r="R43" i="19"/>
  <c r="O44" i="19"/>
  <c r="P44" i="19"/>
  <c r="K44" i="19"/>
  <c r="Q44" i="19"/>
  <c r="R44" i="19"/>
  <c r="O45" i="19"/>
  <c r="P45" i="19"/>
  <c r="K45" i="19"/>
  <c r="Q45" i="19"/>
  <c r="R45" i="19"/>
  <c r="O46" i="19"/>
  <c r="P46" i="19"/>
  <c r="K46" i="19"/>
  <c r="Q46" i="19"/>
  <c r="R46" i="19"/>
  <c r="O47" i="19"/>
  <c r="P47" i="19"/>
  <c r="K47" i="19"/>
  <c r="Q47" i="19"/>
  <c r="R47" i="19"/>
  <c r="O48" i="19"/>
  <c r="P48" i="19"/>
  <c r="K48" i="19"/>
  <c r="Q48" i="19"/>
  <c r="R48" i="19"/>
  <c r="O49" i="19"/>
  <c r="P49" i="19"/>
  <c r="K49" i="19"/>
  <c r="Q49" i="19"/>
  <c r="R49" i="19"/>
  <c r="O50" i="19"/>
  <c r="P50" i="19"/>
  <c r="K50" i="19"/>
  <c r="Q50" i="19"/>
  <c r="R50" i="19"/>
  <c r="O51" i="19"/>
  <c r="P51" i="19"/>
  <c r="K51" i="19"/>
  <c r="Q51" i="19"/>
  <c r="R51" i="19"/>
  <c r="O52" i="19"/>
  <c r="P52" i="19"/>
  <c r="K52" i="19"/>
  <c r="Q52" i="19"/>
  <c r="R52" i="19"/>
  <c r="O53" i="19"/>
  <c r="P53" i="19"/>
  <c r="K53" i="19"/>
  <c r="Q53" i="19"/>
  <c r="R53" i="19"/>
  <c r="O54" i="19"/>
  <c r="P54" i="19"/>
  <c r="K54" i="19"/>
  <c r="Q54" i="19"/>
  <c r="R54" i="19"/>
  <c r="O55" i="19"/>
  <c r="P55" i="19"/>
  <c r="K55" i="19"/>
  <c r="Q55" i="19"/>
  <c r="R55" i="19"/>
  <c r="O56" i="19"/>
  <c r="P56" i="19"/>
  <c r="K56" i="19"/>
  <c r="Q56" i="19"/>
  <c r="R56" i="19"/>
  <c r="O57" i="19"/>
  <c r="P57" i="19"/>
  <c r="K57" i="19"/>
  <c r="Q57" i="19"/>
  <c r="R57" i="19"/>
  <c r="O58" i="19"/>
  <c r="P58" i="19"/>
  <c r="K58" i="19"/>
  <c r="Q58" i="19"/>
  <c r="R58" i="19"/>
  <c r="O59" i="19"/>
  <c r="P59" i="19"/>
  <c r="K59" i="19"/>
  <c r="Q59" i="19"/>
  <c r="R59" i="19"/>
  <c r="O60" i="19"/>
  <c r="P60" i="19"/>
  <c r="K60" i="19"/>
  <c r="Q60" i="19"/>
  <c r="R60" i="19"/>
  <c r="O61" i="19"/>
  <c r="P61" i="19"/>
  <c r="K61" i="19"/>
  <c r="Q61" i="19"/>
  <c r="R61" i="19"/>
  <c r="O62" i="19"/>
  <c r="P62" i="19"/>
  <c r="K62" i="19"/>
  <c r="Q62" i="19"/>
  <c r="R62" i="19"/>
  <c r="O63" i="19"/>
  <c r="P63" i="19"/>
  <c r="K63" i="19"/>
  <c r="Q63" i="19"/>
  <c r="R63" i="19"/>
  <c r="O64" i="19"/>
  <c r="P64" i="19"/>
  <c r="K64" i="19"/>
  <c r="Q64" i="19"/>
  <c r="R64" i="19"/>
  <c r="O65" i="19"/>
  <c r="P65" i="19"/>
  <c r="K65" i="19"/>
  <c r="Q65" i="19"/>
  <c r="R65" i="19"/>
  <c r="O66" i="19"/>
  <c r="P66" i="19"/>
  <c r="K66" i="19"/>
  <c r="Q66" i="19"/>
  <c r="R66" i="19"/>
  <c r="O67" i="19"/>
  <c r="P67" i="19"/>
  <c r="K67" i="19"/>
  <c r="Q67" i="19"/>
  <c r="R67" i="19"/>
  <c r="O68" i="19"/>
  <c r="P68" i="19"/>
  <c r="K68" i="19"/>
  <c r="Q68" i="19"/>
  <c r="R68" i="19"/>
  <c r="O69" i="19"/>
  <c r="P69" i="19"/>
  <c r="K69" i="19"/>
  <c r="Q69" i="19"/>
  <c r="R69" i="19"/>
  <c r="O70" i="19"/>
  <c r="P70" i="19"/>
  <c r="K70" i="19"/>
  <c r="Q70" i="19"/>
  <c r="R70" i="19"/>
  <c r="O71" i="19"/>
  <c r="P71" i="19"/>
  <c r="K71" i="19"/>
  <c r="Q71" i="19"/>
  <c r="R71" i="19"/>
  <c r="O72" i="19"/>
  <c r="P72" i="19"/>
  <c r="K72" i="19"/>
  <c r="Q72" i="19"/>
  <c r="R72" i="19"/>
  <c r="O73" i="19"/>
  <c r="P73" i="19"/>
  <c r="K73" i="19"/>
  <c r="Q73" i="19"/>
  <c r="R73" i="19"/>
  <c r="O74" i="19"/>
  <c r="P74" i="19"/>
  <c r="K74" i="19"/>
  <c r="Q74" i="19"/>
  <c r="R74" i="19"/>
  <c r="O75" i="19"/>
  <c r="P75" i="19"/>
  <c r="K75" i="19"/>
  <c r="Q75" i="19"/>
  <c r="R75" i="19"/>
  <c r="O76" i="19"/>
  <c r="P76" i="19"/>
  <c r="K76" i="19"/>
  <c r="Q76" i="19"/>
  <c r="R76" i="19"/>
  <c r="O77" i="19"/>
  <c r="P77" i="19"/>
  <c r="K77" i="19"/>
  <c r="Q77" i="19"/>
  <c r="R77" i="19"/>
  <c r="O78" i="19"/>
  <c r="P78" i="19"/>
  <c r="K78" i="19"/>
  <c r="Q78" i="19"/>
  <c r="R78" i="19"/>
  <c r="O79" i="19"/>
  <c r="P79" i="19"/>
  <c r="K79" i="19"/>
  <c r="Q79" i="19"/>
  <c r="R79" i="19"/>
  <c r="O80" i="19"/>
  <c r="P80" i="19"/>
  <c r="K80" i="19"/>
  <c r="Q80" i="19"/>
  <c r="R80" i="19"/>
  <c r="O81" i="19"/>
  <c r="P81" i="19"/>
  <c r="K81" i="19"/>
  <c r="Q81" i="19"/>
  <c r="R81" i="19"/>
  <c r="O82" i="19"/>
  <c r="P82" i="19"/>
  <c r="K82" i="19"/>
  <c r="Q82" i="19"/>
  <c r="R82" i="19"/>
  <c r="O83" i="19"/>
  <c r="P83" i="19"/>
  <c r="K83" i="19"/>
  <c r="Q83" i="19"/>
  <c r="R83" i="19"/>
  <c r="O84" i="19"/>
  <c r="P84" i="19"/>
  <c r="K84" i="19"/>
  <c r="Q84" i="19"/>
  <c r="R84" i="19"/>
  <c r="O85" i="19"/>
  <c r="P85" i="19"/>
  <c r="K85" i="19"/>
  <c r="Q85" i="19"/>
  <c r="R85" i="19"/>
  <c r="O86" i="19"/>
  <c r="P86" i="19"/>
  <c r="K86" i="19"/>
  <c r="Q86" i="19"/>
  <c r="R86" i="19"/>
  <c r="O87" i="19"/>
  <c r="P87" i="19"/>
  <c r="K87" i="19"/>
  <c r="Q87" i="19"/>
  <c r="R87" i="19"/>
  <c r="O88" i="19"/>
  <c r="P88" i="19"/>
  <c r="K88" i="19"/>
  <c r="Q88" i="19"/>
  <c r="R88" i="19"/>
  <c r="O89" i="19"/>
  <c r="P89" i="19"/>
  <c r="K89" i="19"/>
  <c r="Q89" i="19"/>
  <c r="R89" i="19"/>
  <c r="O90" i="19"/>
  <c r="P90" i="19"/>
  <c r="K90" i="19"/>
  <c r="Q90" i="19"/>
  <c r="R90" i="19"/>
  <c r="O91" i="19"/>
  <c r="P91" i="19"/>
  <c r="K91" i="19"/>
  <c r="Q91" i="19"/>
  <c r="R91" i="19"/>
  <c r="O92" i="19"/>
  <c r="P92" i="19"/>
  <c r="K92" i="19"/>
  <c r="Q92" i="19"/>
  <c r="R92" i="19"/>
  <c r="O93" i="19"/>
  <c r="P93" i="19"/>
  <c r="K93" i="19"/>
  <c r="Q93" i="19"/>
  <c r="R93" i="19"/>
  <c r="O94" i="19"/>
  <c r="P94" i="19"/>
  <c r="K94" i="19"/>
  <c r="Q94" i="19"/>
  <c r="R94" i="19"/>
  <c r="O95" i="19"/>
  <c r="P95" i="19"/>
  <c r="K95" i="19"/>
  <c r="Q95" i="19"/>
  <c r="R95" i="19"/>
  <c r="O96" i="19"/>
  <c r="P96" i="19"/>
  <c r="K96" i="19"/>
  <c r="Q96" i="19"/>
  <c r="R96" i="19"/>
  <c r="O97" i="19"/>
  <c r="P97" i="19"/>
  <c r="K97" i="19"/>
  <c r="Q97" i="19"/>
  <c r="R97" i="19"/>
  <c r="O98" i="19"/>
  <c r="P98" i="19"/>
  <c r="K98" i="19"/>
  <c r="Q98" i="19"/>
  <c r="R98" i="19"/>
  <c r="O99" i="19"/>
  <c r="P99" i="19"/>
  <c r="K99" i="19"/>
  <c r="Q99" i="19"/>
  <c r="R99" i="19"/>
  <c r="O100" i="19"/>
  <c r="P100" i="19"/>
  <c r="K100" i="19"/>
  <c r="Q100" i="19"/>
  <c r="R100" i="19"/>
  <c r="O101" i="19"/>
  <c r="P101" i="19"/>
  <c r="K101" i="19"/>
  <c r="Q101" i="19"/>
  <c r="R101" i="19"/>
  <c r="O102" i="19"/>
  <c r="P102" i="19"/>
  <c r="K102" i="19"/>
  <c r="Q102" i="19"/>
  <c r="R102" i="19"/>
  <c r="O103" i="19"/>
  <c r="P103" i="19"/>
  <c r="K103" i="19"/>
  <c r="Q103" i="19"/>
  <c r="R103" i="19"/>
  <c r="O104" i="19"/>
  <c r="P104" i="19"/>
  <c r="K104" i="19"/>
  <c r="Q104" i="19"/>
  <c r="R104" i="19"/>
  <c r="O105" i="19"/>
  <c r="P105" i="19"/>
  <c r="K105" i="19"/>
  <c r="Q105" i="19"/>
  <c r="R105" i="19"/>
  <c r="O106" i="19"/>
  <c r="P106" i="19"/>
  <c r="K106" i="19"/>
  <c r="Q106" i="19"/>
  <c r="R106" i="19"/>
  <c r="O107" i="19"/>
  <c r="P107" i="19"/>
  <c r="K107" i="19"/>
  <c r="Q107" i="19"/>
  <c r="R107" i="19"/>
  <c r="O108" i="19"/>
  <c r="P108" i="19"/>
  <c r="K108" i="19"/>
  <c r="Q108" i="19"/>
  <c r="R108" i="19"/>
  <c r="O109" i="19"/>
  <c r="P109" i="19"/>
  <c r="K109" i="19"/>
  <c r="Q109" i="19"/>
  <c r="R109" i="19"/>
  <c r="R116" i="19"/>
  <c r="J39" i="3"/>
  <c r="S11" i="19"/>
  <c r="T11" i="19"/>
  <c r="S12" i="19"/>
  <c r="T12" i="19"/>
  <c r="S13" i="19"/>
  <c r="T13" i="19"/>
  <c r="S14" i="19"/>
  <c r="T14" i="19"/>
  <c r="S15" i="19"/>
  <c r="T15" i="19"/>
  <c r="S16" i="19"/>
  <c r="T16" i="19"/>
  <c r="S17" i="19"/>
  <c r="T17" i="19"/>
  <c r="S18" i="19"/>
  <c r="T18" i="19"/>
  <c r="S19" i="19"/>
  <c r="T19" i="19"/>
  <c r="S20" i="19"/>
  <c r="T20" i="19"/>
  <c r="S21" i="19"/>
  <c r="T21" i="19"/>
  <c r="S22" i="19"/>
  <c r="T22" i="19"/>
  <c r="S23" i="19"/>
  <c r="T23" i="19"/>
  <c r="S24" i="19"/>
  <c r="T24" i="19"/>
  <c r="S25" i="19"/>
  <c r="T25" i="19"/>
  <c r="S26" i="19"/>
  <c r="T26" i="19"/>
  <c r="S27" i="19"/>
  <c r="T27" i="19"/>
  <c r="S28" i="19"/>
  <c r="T28" i="19"/>
  <c r="S29" i="19"/>
  <c r="T29" i="19"/>
  <c r="S30" i="19"/>
  <c r="T30" i="19"/>
  <c r="S31" i="19"/>
  <c r="T31" i="19"/>
  <c r="S32" i="19"/>
  <c r="T32" i="19"/>
  <c r="S33" i="19"/>
  <c r="T33" i="19"/>
  <c r="S34" i="19"/>
  <c r="T34" i="19"/>
  <c r="S35" i="19"/>
  <c r="T35" i="19"/>
  <c r="S36" i="19"/>
  <c r="T36" i="19"/>
  <c r="S37" i="19"/>
  <c r="T37" i="19"/>
  <c r="S38" i="19"/>
  <c r="T38" i="19"/>
  <c r="S39" i="19"/>
  <c r="T39" i="19"/>
  <c r="S40" i="19"/>
  <c r="T40" i="19"/>
  <c r="S41" i="19"/>
  <c r="T41" i="19"/>
  <c r="S42" i="19"/>
  <c r="T42" i="19"/>
  <c r="S43" i="19"/>
  <c r="T43" i="19"/>
  <c r="S44" i="19"/>
  <c r="T44" i="19"/>
  <c r="S45" i="19"/>
  <c r="T45" i="19"/>
  <c r="S46" i="19"/>
  <c r="T46" i="19"/>
  <c r="S47" i="19"/>
  <c r="T47" i="19"/>
  <c r="S48" i="19"/>
  <c r="T48" i="19"/>
  <c r="S49" i="19"/>
  <c r="T49" i="19"/>
  <c r="S50" i="19"/>
  <c r="T50" i="19"/>
  <c r="S51" i="19"/>
  <c r="T51" i="19"/>
  <c r="S52" i="19"/>
  <c r="T52" i="19"/>
  <c r="S53" i="19"/>
  <c r="T53" i="19"/>
  <c r="S54" i="19"/>
  <c r="T54" i="19"/>
  <c r="S55" i="19"/>
  <c r="T55" i="19"/>
  <c r="S56" i="19"/>
  <c r="T56" i="19"/>
  <c r="S57" i="19"/>
  <c r="T57" i="19"/>
  <c r="S58" i="19"/>
  <c r="T58" i="19"/>
  <c r="S59" i="19"/>
  <c r="T59" i="19"/>
  <c r="S60" i="19"/>
  <c r="T60" i="19"/>
  <c r="S61" i="19"/>
  <c r="T61" i="19"/>
  <c r="S62" i="19"/>
  <c r="T62" i="19"/>
  <c r="S63" i="19"/>
  <c r="T63" i="19"/>
  <c r="S64" i="19"/>
  <c r="T64" i="19"/>
  <c r="S65" i="19"/>
  <c r="T65" i="19"/>
  <c r="S66" i="19"/>
  <c r="T66" i="19"/>
  <c r="S67" i="19"/>
  <c r="T67" i="19"/>
  <c r="S68" i="19"/>
  <c r="T68" i="19"/>
  <c r="S69" i="19"/>
  <c r="T69" i="19"/>
  <c r="S70" i="19"/>
  <c r="T70" i="19"/>
  <c r="S71" i="19"/>
  <c r="T71" i="19"/>
  <c r="S72" i="19"/>
  <c r="T72" i="19"/>
  <c r="S73" i="19"/>
  <c r="T73" i="19"/>
  <c r="S74" i="19"/>
  <c r="T74" i="19"/>
  <c r="S75" i="19"/>
  <c r="T75" i="19"/>
  <c r="S76" i="19"/>
  <c r="T76" i="19"/>
  <c r="S77" i="19"/>
  <c r="T77" i="19"/>
  <c r="S78" i="19"/>
  <c r="T78" i="19"/>
  <c r="S79" i="19"/>
  <c r="T79" i="19"/>
  <c r="S80" i="19"/>
  <c r="T80" i="19"/>
  <c r="S81" i="19"/>
  <c r="T81" i="19"/>
  <c r="S82" i="19"/>
  <c r="T82" i="19"/>
  <c r="S83" i="19"/>
  <c r="T83" i="19"/>
  <c r="S84" i="19"/>
  <c r="T84" i="19"/>
  <c r="S85" i="19"/>
  <c r="T85" i="19"/>
  <c r="S86" i="19"/>
  <c r="T86" i="19"/>
  <c r="S87" i="19"/>
  <c r="T87" i="19"/>
  <c r="S88" i="19"/>
  <c r="T88" i="19"/>
  <c r="S89" i="19"/>
  <c r="T89" i="19"/>
  <c r="S90" i="19"/>
  <c r="T90" i="19"/>
  <c r="S91" i="19"/>
  <c r="T91" i="19"/>
  <c r="S92" i="19"/>
  <c r="T92" i="19"/>
  <c r="S93" i="19"/>
  <c r="T93" i="19"/>
  <c r="S94" i="19"/>
  <c r="T94" i="19"/>
  <c r="S95" i="19"/>
  <c r="T95" i="19"/>
  <c r="S96" i="19"/>
  <c r="T96" i="19"/>
  <c r="S97" i="19"/>
  <c r="T97" i="19"/>
  <c r="S98" i="19"/>
  <c r="T98" i="19"/>
  <c r="S99" i="19"/>
  <c r="T99" i="19"/>
  <c r="S100" i="19"/>
  <c r="T100" i="19"/>
  <c r="S101" i="19"/>
  <c r="T101" i="19"/>
  <c r="S102" i="19"/>
  <c r="T102" i="19"/>
  <c r="S103" i="19"/>
  <c r="T103" i="19"/>
  <c r="S104" i="19"/>
  <c r="T104" i="19"/>
  <c r="S105" i="19"/>
  <c r="T105" i="19"/>
  <c r="S106" i="19"/>
  <c r="T106" i="19"/>
  <c r="S107" i="19"/>
  <c r="T107" i="19"/>
  <c r="S108" i="19"/>
  <c r="T108" i="19"/>
  <c r="S109" i="19"/>
  <c r="T109" i="19"/>
  <c r="S110" i="19"/>
  <c r="T110" i="19"/>
  <c r="T116" i="19"/>
  <c r="J43" i="3"/>
  <c r="J59" i="3"/>
  <c r="N21" i="3"/>
  <c r="N27" i="3"/>
  <c r="N59" i="3"/>
  <c r="F59" i="3"/>
  <c r="P2" i="3"/>
  <c r="AT779" i="60"/>
  <c r="AT778" i="60"/>
  <c r="AT773" i="60"/>
  <c r="AT775" i="60"/>
  <c r="AT776" i="60"/>
  <c r="AT780" i="60"/>
  <c r="AT774" i="60"/>
  <c r="AT771" i="60"/>
  <c r="AT781" i="60"/>
  <c r="AT777" i="60"/>
  <c r="AV777" i="60"/>
  <c r="AV774" i="60"/>
  <c r="AF779" i="60"/>
  <c r="AG779" i="60"/>
  <c r="AV776" i="60"/>
  <c r="AV781" i="60"/>
  <c r="AV771" i="60"/>
  <c r="AV779" i="60"/>
  <c r="AV773" i="60"/>
  <c r="AV778" i="60"/>
  <c r="AV772" i="60"/>
  <c r="AV775" i="60"/>
  <c r="AV780" i="60"/>
  <c r="AF780" i="60"/>
  <c r="AG780" i="60"/>
  <c r="AT772" i="60"/>
  <c r="AF776" i="60"/>
  <c r="AG776" i="60"/>
  <c r="AF775" i="60"/>
  <c r="AG775" i="60"/>
  <c r="AF773" i="60"/>
  <c r="AG773" i="60"/>
  <c r="AF772" i="60"/>
  <c r="AG772" i="60"/>
  <c r="AF781" i="60"/>
  <c r="AG781" i="60"/>
  <c r="AF778" i="60"/>
  <c r="AG778" i="60"/>
  <c r="AF777" i="60"/>
  <c r="AG777" i="60"/>
  <c r="AF771" i="60"/>
  <c r="AG771" i="60"/>
  <c r="AF774" i="60"/>
  <c r="AG774" i="60"/>
  <c r="AV770" i="60"/>
  <c r="AT770" i="60"/>
  <c r="AF770" i="60"/>
  <c r="AG770" i="60"/>
  <c r="AV769" i="60"/>
  <c r="AT769" i="60"/>
  <c r="AF769" i="60"/>
  <c r="AG769" i="60"/>
  <c r="AV768" i="60"/>
  <c r="AT768" i="60"/>
  <c r="AF768" i="60"/>
  <c r="AG768" i="60"/>
  <c r="AV767" i="60"/>
  <c r="AT767" i="60"/>
  <c r="AF767" i="60"/>
  <c r="AG767" i="60"/>
  <c r="AT766" i="60"/>
  <c r="AV766" i="60"/>
  <c r="AF766" i="60"/>
  <c r="AG766" i="60"/>
  <c r="W23" i="19"/>
  <c r="W22" i="19"/>
  <c r="W21" i="19"/>
  <c r="W20" i="19"/>
  <c r="W19" i="19"/>
  <c r="W18" i="19"/>
  <c r="W17" i="19"/>
  <c r="W16" i="19"/>
  <c r="W15" i="19"/>
  <c r="W14" i="19"/>
  <c r="W13" i="19"/>
  <c r="W12" i="19"/>
  <c r="W11" i="19"/>
  <c r="W10" i="19"/>
  <c r="G11" i="19"/>
  <c r="AT52" i="60"/>
  <c r="AV8" i="60"/>
  <c r="AV9" i="60"/>
  <c r="AV10" i="60"/>
  <c r="AV11" i="60"/>
  <c r="AV12" i="60"/>
  <c r="AV13" i="60"/>
  <c r="AV14" i="60"/>
  <c r="AV15" i="60"/>
  <c r="AV16" i="60"/>
  <c r="AV17" i="60"/>
  <c r="AV18" i="60"/>
  <c r="AV19" i="60"/>
  <c r="AV20" i="60"/>
  <c r="AV21" i="60"/>
  <c r="AV22" i="60"/>
  <c r="AV23" i="60"/>
  <c r="AV24" i="60"/>
  <c r="AV25" i="60"/>
  <c r="AV26" i="60"/>
  <c r="AV27" i="60"/>
  <c r="AV28" i="60"/>
  <c r="AV29" i="60"/>
  <c r="AV30" i="60"/>
  <c r="AV31" i="60"/>
  <c r="AV32" i="60"/>
  <c r="AV33" i="60"/>
  <c r="AV34" i="60"/>
  <c r="AV35" i="60"/>
  <c r="AV36" i="60"/>
  <c r="AV37" i="60"/>
  <c r="AV38" i="60"/>
  <c r="AV39" i="60"/>
  <c r="AV40" i="60"/>
  <c r="AV41" i="60"/>
  <c r="AV42" i="60"/>
  <c r="AV43" i="60"/>
  <c r="AV44" i="60"/>
  <c r="AV45" i="60"/>
  <c r="AV46" i="60"/>
  <c r="AV47" i="60"/>
  <c r="AV48" i="60"/>
  <c r="AV49" i="60"/>
  <c r="AV50" i="60"/>
  <c r="AV51" i="60"/>
  <c r="AV52" i="60"/>
  <c r="AV53" i="60"/>
  <c r="AV54" i="60"/>
  <c r="AV55" i="60"/>
  <c r="AV56" i="60"/>
  <c r="AV57" i="60"/>
  <c r="AV58" i="60"/>
  <c r="AV59" i="60"/>
  <c r="AV60" i="60"/>
  <c r="AV61" i="60"/>
  <c r="AV62" i="60"/>
  <c r="AV63" i="60"/>
  <c r="AV64" i="60"/>
  <c r="AV65" i="60"/>
  <c r="AV66" i="60"/>
  <c r="AV67" i="60"/>
  <c r="AV68" i="60"/>
  <c r="AV69" i="60"/>
  <c r="AV70" i="60"/>
  <c r="AV71" i="60"/>
  <c r="AV72" i="60"/>
  <c r="AV73" i="60"/>
  <c r="AV74" i="60"/>
  <c r="AV75" i="60"/>
  <c r="AV76" i="60"/>
  <c r="AV77" i="60"/>
  <c r="AV78" i="60"/>
  <c r="AV79" i="60"/>
  <c r="AV80" i="60"/>
  <c r="AV81" i="60"/>
  <c r="AV82" i="60"/>
  <c r="AV83" i="60"/>
  <c r="AV84" i="60"/>
  <c r="AV85" i="60"/>
  <c r="AV86" i="60"/>
  <c r="AV87" i="60"/>
  <c r="AV88" i="60"/>
  <c r="AV89" i="60"/>
  <c r="AV90" i="60"/>
  <c r="AV91" i="60"/>
  <c r="AV92" i="60"/>
  <c r="AV93" i="60"/>
  <c r="AV94" i="60"/>
  <c r="AV95" i="60"/>
  <c r="AV96" i="60"/>
  <c r="AV97" i="60"/>
  <c r="AV98" i="60"/>
  <c r="AV99" i="60"/>
  <c r="AV100" i="60"/>
  <c r="AV101" i="60"/>
  <c r="AV102" i="60"/>
  <c r="AV103" i="60"/>
  <c r="AV104" i="60"/>
  <c r="AV105" i="60"/>
  <c r="AV106" i="60"/>
  <c r="AV107" i="60"/>
  <c r="AV108" i="60"/>
  <c r="AV109" i="60"/>
  <c r="AV110" i="60"/>
  <c r="AV111" i="60"/>
  <c r="AV112" i="60"/>
  <c r="AV113" i="60"/>
  <c r="AV114" i="60"/>
  <c r="AV115" i="60"/>
  <c r="AV116" i="60"/>
  <c r="AV117" i="60"/>
  <c r="AV118" i="60"/>
  <c r="AV119" i="60"/>
  <c r="AV120" i="60"/>
  <c r="AV121" i="60"/>
  <c r="AV122" i="60"/>
  <c r="AV123" i="60"/>
  <c r="AV124" i="60"/>
  <c r="AV125" i="60"/>
  <c r="AV126" i="60"/>
  <c r="AV127" i="60"/>
  <c r="AV128" i="60"/>
  <c r="AV129" i="60"/>
  <c r="AV130" i="60"/>
  <c r="AV131" i="60"/>
  <c r="AV132" i="60"/>
  <c r="AV133" i="60"/>
  <c r="AV134" i="60"/>
  <c r="AV135" i="60"/>
  <c r="AV136" i="60"/>
  <c r="AV137" i="60"/>
  <c r="AV138" i="60"/>
  <c r="AV139" i="60"/>
  <c r="AV140" i="60"/>
  <c r="AV141" i="60"/>
  <c r="AV142" i="60"/>
  <c r="AV143" i="60"/>
  <c r="AV144" i="60"/>
  <c r="AV145" i="60"/>
  <c r="AV146" i="60"/>
  <c r="AV147" i="60"/>
  <c r="AV148" i="60"/>
  <c r="AV149" i="60"/>
  <c r="AV150" i="60"/>
  <c r="AV151" i="60"/>
  <c r="AV152" i="60"/>
  <c r="AV153" i="60"/>
  <c r="AV154" i="60"/>
  <c r="AV155" i="60"/>
  <c r="AV156" i="60"/>
  <c r="AV157" i="60"/>
  <c r="AV158" i="60"/>
  <c r="AV159" i="60"/>
  <c r="AV160" i="60"/>
  <c r="AV161" i="60"/>
  <c r="AV162" i="60"/>
  <c r="AV163" i="60"/>
  <c r="AV164" i="60"/>
  <c r="AV165" i="60"/>
  <c r="AV166" i="60"/>
  <c r="AV167" i="60"/>
  <c r="AV168" i="60"/>
  <c r="AV169" i="60"/>
  <c r="AV170" i="60"/>
  <c r="AV171" i="60"/>
  <c r="AV172" i="60"/>
  <c r="AV173" i="60"/>
  <c r="AV174" i="60"/>
  <c r="AV175" i="60"/>
  <c r="AV176" i="60"/>
  <c r="AV177" i="60"/>
  <c r="AV178" i="60"/>
  <c r="AV179" i="60"/>
  <c r="AV180" i="60"/>
  <c r="AV181" i="60"/>
  <c r="AV182" i="60"/>
  <c r="AV183" i="60"/>
  <c r="AV184" i="60"/>
  <c r="AV185" i="60"/>
  <c r="AV186" i="60"/>
  <c r="AV187" i="60"/>
  <c r="AV188" i="60"/>
  <c r="AV189" i="60"/>
  <c r="AV190" i="60"/>
  <c r="AV191" i="60"/>
  <c r="AV192" i="60"/>
  <c r="AV193" i="60"/>
  <c r="AV194" i="60"/>
  <c r="AV195" i="60"/>
  <c r="AV196" i="60"/>
  <c r="AV197" i="60"/>
  <c r="AV198" i="60"/>
  <c r="AV199" i="60"/>
  <c r="AV200" i="60"/>
  <c r="AV201" i="60"/>
  <c r="AV202" i="60"/>
  <c r="AV203" i="60"/>
  <c r="AV204" i="60"/>
  <c r="AV205" i="60"/>
  <c r="AV206" i="60"/>
  <c r="AV207" i="60"/>
  <c r="AV208" i="60"/>
  <c r="AV209" i="60"/>
  <c r="AV210" i="60"/>
  <c r="AV211" i="60"/>
  <c r="AV212" i="60"/>
  <c r="AV213" i="60"/>
  <c r="AV214" i="60"/>
  <c r="AV215" i="60"/>
  <c r="AV216" i="60"/>
  <c r="AV217" i="60"/>
  <c r="AV218" i="60"/>
  <c r="AV219" i="60"/>
  <c r="AV220" i="60"/>
  <c r="AV221" i="60"/>
  <c r="AV222" i="60"/>
  <c r="AV223" i="60"/>
  <c r="AV224" i="60"/>
  <c r="AV225" i="60"/>
  <c r="AV226" i="60"/>
  <c r="AV227" i="60"/>
  <c r="AV228" i="60"/>
  <c r="AV229" i="60"/>
  <c r="AV230" i="60"/>
  <c r="AV231" i="60"/>
  <c r="AV232" i="60"/>
  <c r="AV233" i="60"/>
  <c r="AV234" i="60"/>
  <c r="AV235" i="60"/>
  <c r="AV236" i="60"/>
  <c r="AV237" i="60"/>
  <c r="AV238" i="60"/>
  <c r="AV239" i="60"/>
  <c r="AV240" i="60"/>
  <c r="AV241" i="60"/>
  <c r="AV242" i="60"/>
  <c r="AV243" i="60"/>
  <c r="AV244" i="60"/>
  <c r="AV245" i="60"/>
  <c r="AV246" i="60"/>
  <c r="AV247" i="60"/>
  <c r="AV248" i="60"/>
  <c r="AV249" i="60"/>
  <c r="AV250" i="60"/>
  <c r="AV251" i="60"/>
  <c r="AV252" i="60"/>
  <c r="AV253" i="60"/>
  <c r="AV254" i="60"/>
  <c r="AV255" i="60"/>
  <c r="AV256" i="60"/>
  <c r="AV257" i="60"/>
  <c r="AV258" i="60"/>
  <c r="AV259" i="60"/>
  <c r="AV260" i="60"/>
  <c r="AV261" i="60"/>
  <c r="AV262" i="60"/>
  <c r="AV263" i="60"/>
  <c r="AV264" i="60"/>
  <c r="AV265" i="60"/>
  <c r="AV266" i="60"/>
  <c r="AV267" i="60"/>
  <c r="AV268" i="60"/>
  <c r="AV269" i="60"/>
  <c r="AV270" i="60"/>
  <c r="AV271" i="60"/>
  <c r="AV272" i="60"/>
  <c r="AV273" i="60"/>
  <c r="AV274" i="60"/>
  <c r="AV275" i="60"/>
  <c r="AV276" i="60"/>
  <c r="AV277" i="60"/>
  <c r="AV278" i="60"/>
  <c r="AV279" i="60"/>
  <c r="AV280" i="60"/>
  <c r="AV281" i="60"/>
  <c r="AV282" i="60"/>
  <c r="AV283" i="60"/>
  <c r="AV284" i="60"/>
  <c r="AV285" i="60"/>
  <c r="AV286" i="60"/>
  <c r="AV287" i="60"/>
  <c r="AV288" i="60"/>
  <c r="AV289" i="60"/>
  <c r="AV290" i="60"/>
  <c r="AV291" i="60"/>
  <c r="AV292" i="60"/>
  <c r="AV293" i="60"/>
  <c r="AV294" i="60"/>
  <c r="AV295" i="60"/>
  <c r="AV296" i="60"/>
  <c r="AV297" i="60"/>
  <c r="AV298" i="60"/>
  <c r="AV299" i="60"/>
  <c r="AV300" i="60"/>
  <c r="AV301" i="60"/>
  <c r="AV302" i="60"/>
  <c r="AV303" i="60"/>
  <c r="AV304" i="60"/>
  <c r="AV305" i="60"/>
  <c r="AV306" i="60"/>
  <c r="AV307" i="60"/>
  <c r="AV308" i="60"/>
  <c r="AV309" i="60"/>
  <c r="AV310" i="60"/>
  <c r="AV311" i="60"/>
  <c r="AV312" i="60"/>
  <c r="AV313" i="60"/>
  <c r="AV314" i="60"/>
  <c r="AV315" i="60"/>
  <c r="AV316" i="60"/>
  <c r="AV317" i="60"/>
  <c r="AV318" i="60"/>
  <c r="AV319" i="60"/>
  <c r="AV320" i="60"/>
  <c r="AV321" i="60"/>
  <c r="AV322" i="60"/>
  <c r="AV323" i="60"/>
  <c r="AV324" i="60"/>
  <c r="AV325" i="60"/>
  <c r="AV326" i="60"/>
  <c r="AV327" i="60"/>
  <c r="AV328" i="60"/>
  <c r="AV329" i="60"/>
  <c r="AV330" i="60"/>
  <c r="AV331" i="60"/>
  <c r="AV332" i="60"/>
  <c r="AV333" i="60"/>
  <c r="AV334" i="60"/>
  <c r="AV335" i="60"/>
  <c r="AV336" i="60"/>
  <c r="AV337" i="60"/>
  <c r="AV338" i="60"/>
  <c r="AV339" i="60"/>
  <c r="AV340" i="60"/>
  <c r="AV341" i="60"/>
  <c r="AV342" i="60"/>
  <c r="AV343" i="60"/>
  <c r="AV344" i="60"/>
  <c r="AV345" i="60"/>
  <c r="AV346" i="60"/>
  <c r="AV347" i="60"/>
  <c r="AV348" i="60"/>
  <c r="AV349" i="60"/>
  <c r="AV350" i="60"/>
  <c r="AV351" i="60"/>
  <c r="AV352" i="60"/>
  <c r="AV353" i="60"/>
  <c r="AV354" i="60"/>
  <c r="AV355" i="60"/>
  <c r="AV356" i="60"/>
  <c r="AV357" i="60"/>
  <c r="AV358" i="60"/>
  <c r="AV359" i="60"/>
  <c r="AV360" i="60"/>
  <c r="AV361" i="60"/>
  <c r="AV362" i="60"/>
  <c r="AV363" i="60"/>
  <c r="AV364" i="60"/>
  <c r="AV365" i="60"/>
  <c r="AV366" i="60"/>
  <c r="AV367" i="60"/>
  <c r="AV368" i="60"/>
  <c r="AV369" i="60"/>
  <c r="AV370" i="60"/>
  <c r="AV371" i="60"/>
  <c r="AV372" i="60"/>
  <c r="AV373" i="60"/>
  <c r="AV374" i="60"/>
  <c r="AV375" i="60"/>
  <c r="AV376" i="60"/>
  <c r="AV377" i="60"/>
  <c r="AV378" i="60"/>
  <c r="AV379" i="60"/>
  <c r="AV380" i="60"/>
  <c r="AV381" i="60"/>
  <c r="AV382" i="60"/>
  <c r="AV383" i="60"/>
  <c r="AV384" i="60"/>
  <c r="AV385" i="60"/>
  <c r="AV386" i="60"/>
  <c r="AV387" i="60"/>
  <c r="AV388" i="60"/>
  <c r="AV389" i="60"/>
  <c r="AV390" i="60"/>
  <c r="AV391" i="60"/>
  <c r="AV392" i="60"/>
  <c r="AV393" i="60"/>
  <c r="AV394" i="60"/>
  <c r="AV395" i="60"/>
  <c r="AV396" i="60"/>
  <c r="AV397" i="60"/>
  <c r="AV398" i="60"/>
  <c r="AV399" i="60"/>
  <c r="AV400" i="60"/>
  <c r="AV401" i="60"/>
  <c r="AV402" i="60"/>
  <c r="AV403" i="60"/>
  <c r="AV404" i="60"/>
  <c r="AV405" i="60"/>
  <c r="AV406" i="60"/>
  <c r="AV407" i="60"/>
  <c r="AV408" i="60"/>
  <c r="AV409" i="60"/>
  <c r="AV410" i="60"/>
  <c r="AV411" i="60"/>
  <c r="AV412" i="60"/>
  <c r="AV413" i="60"/>
  <c r="AV414" i="60"/>
  <c r="AV415" i="60"/>
  <c r="AV416" i="60"/>
  <c r="AV417" i="60"/>
  <c r="AV418" i="60"/>
  <c r="AV419" i="60"/>
  <c r="AV420" i="60"/>
  <c r="AV421" i="60"/>
  <c r="AV422" i="60"/>
  <c r="AV423" i="60"/>
  <c r="AV424" i="60"/>
  <c r="AV425" i="60"/>
  <c r="AV426" i="60"/>
  <c r="AV427" i="60"/>
  <c r="AV428" i="60"/>
  <c r="AV429" i="60"/>
  <c r="AV430" i="60"/>
  <c r="AV431" i="60"/>
  <c r="AV432" i="60"/>
  <c r="AV433" i="60"/>
  <c r="AV434" i="60"/>
  <c r="AV435" i="60"/>
  <c r="AV436" i="60"/>
  <c r="AV437" i="60"/>
  <c r="AV438" i="60"/>
  <c r="AV439" i="60"/>
  <c r="AV440" i="60"/>
  <c r="AV441" i="60"/>
  <c r="AV442" i="60"/>
  <c r="AV443" i="60"/>
  <c r="AV444" i="60"/>
  <c r="AV445" i="60"/>
  <c r="AV446" i="60"/>
  <c r="AV447" i="60"/>
  <c r="AV448" i="60"/>
  <c r="AV449" i="60"/>
  <c r="AV450" i="60"/>
  <c r="AV451" i="60"/>
  <c r="AV452" i="60"/>
  <c r="AV453" i="60"/>
  <c r="AV454" i="60"/>
  <c r="AV455" i="60"/>
  <c r="AV456" i="60"/>
  <c r="AV457" i="60"/>
  <c r="AV458" i="60"/>
  <c r="AV459" i="60"/>
  <c r="AV460" i="60"/>
  <c r="AV461" i="60"/>
  <c r="AV462" i="60"/>
  <c r="AV463" i="60"/>
  <c r="AV464" i="60"/>
  <c r="AV465" i="60"/>
  <c r="AV466" i="60"/>
  <c r="AV467" i="60"/>
  <c r="AV468" i="60"/>
  <c r="AV469" i="60"/>
  <c r="AV470" i="60"/>
  <c r="AV471" i="60"/>
  <c r="AV472" i="60"/>
  <c r="AV473" i="60"/>
  <c r="AV474" i="60"/>
  <c r="AV475" i="60"/>
  <c r="AV476" i="60"/>
  <c r="AV477" i="60"/>
  <c r="AV478" i="60"/>
  <c r="AV479" i="60"/>
  <c r="AV480" i="60"/>
  <c r="AV481" i="60"/>
  <c r="AV482" i="60"/>
  <c r="AV483" i="60"/>
  <c r="AV484" i="60"/>
  <c r="AV485" i="60"/>
  <c r="AV486" i="60"/>
  <c r="AV487" i="60"/>
  <c r="AV488" i="60"/>
  <c r="AV489" i="60"/>
  <c r="AV490" i="60"/>
  <c r="AV491" i="60"/>
  <c r="AV492" i="60"/>
  <c r="AV493" i="60"/>
  <c r="AV494" i="60"/>
  <c r="AV495" i="60"/>
  <c r="AV496" i="60"/>
  <c r="AV497" i="60"/>
  <c r="AV498" i="60"/>
  <c r="AV499" i="60"/>
  <c r="AV500" i="60"/>
  <c r="AV501" i="60"/>
  <c r="AV502" i="60"/>
  <c r="AV503" i="60"/>
  <c r="AV504" i="60"/>
  <c r="AV505" i="60"/>
  <c r="AV506" i="60"/>
  <c r="AV507" i="60"/>
  <c r="AV508" i="60"/>
  <c r="AV509" i="60"/>
  <c r="AV510" i="60"/>
  <c r="AV511" i="60"/>
  <c r="AV512" i="60"/>
  <c r="AV513" i="60"/>
  <c r="AV514" i="60"/>
  <c r="AV515" i="60"/>
  <c r="AV516" i="60"/>
  <c r="AV517" i="60"/>
  <c r="AV518" i="60"/>
  <c r="AV519" i="60"/>
  <c r="AV520" i="60"/>
  <c r="AV521" i="60"/>
  <c r="AV522" i="60"/>
  <c r="AV523" i="60"/>
  <c r="AV524" i="60"/>
  <c r="AV525" i="60"/>
  <c r="AV526" i="60"/>
  <c r="AV527" i="60"/>
  <c r="AV528" i="60"/>
  <c r="AV529" i="60"/>
  <c r="AV530" i="60"/>
  <c r="AV531" i="60"/>
  <c r="AV532" i="60"/>
  <c r="AV533" i="60"/>
  <c r="AV534" i="60"/>
  <c r="AV535" i="60"/>
  <c r="AV536" i="60"/>
  <c r="AV537" i="60"/>
  <c r="AV538" i="60"/>
  <c r="AV539" i="60"/>
  <c r="AV540" i="60"/>
  <c r="AV541" i="60"/>
  <c r="AV542" i="60"/>
  <c r="AV543" i="60"/>
  <c r="AV544" i="60"/>
  <c r="AV545" i="60"/>
  <c r="AV546" i="60"/>
  <c r="AV547" i="60"/>
  <c r="AV548" i="60"/>
  <c r="AV549" i="60"/>
  <c r="AV550" i="60"/>
  <c r="AV551" i="60"/>
  <c r="AV552" i="60"/>
  <c r="AV553" i="60"/>
  <c r="AV554" i="60"/>
  <c r="AV555" i="60"/>
  <c r="AV556" i="60"/>
  <c r="AV557" i="60"/>
  <c r="AV558" i="60"/>
  <c r="AV559" i="60"/>
  <c r="AV560" i="60"/>
  <c r="AV561" i="60"/>
  <c r="AV562" i="60"/>
  <c r="AV563" i="60"/>
  <c r="AV564" i="60"/>
  <c r="AV565" i="60"/>
  <c r="AV566" i="60"/>
  <c r="AV567" i="60"/>
  <c r="AV568" i="60"/>
  <c r="AV569" i="60"/>
  <c r="AV570" i="60"/>
  <c r="AV571" i="60"/>
  <c r="AV572" i="60"/>
  <c r="AV573" i="60"/>
  <c r="AV574" i="60"/>
  <c r="AV575" i="60"/>
  <c r="AV576" i="60"/>
  <c r="AV577" i="60"/>
  <c r="AV578" i="60"/>
  <c r="AV579" i="60"/>
  <c r="AV580" i="60"/>
  <c r="AV581" i="60"/>
  <c r="AV582" i="60"/>
  <c r="AV583" i="60"/>
  <c r="AV584" i="60"/>
  <c r="AV585" i="60"/>
  <c r="AV586" i="60"/>
  <c r="AV587" i="60"/>
  <c r="AV588" i="60"/>
  <c r="AV589" i="60"/>
  <c r="AV590" i="60"/>
  <c r="AV591" i="60"/>
  <c r="AV592" i="60"/>
  <c r="AV593" i="60"/>
  <c r="AV594" i="60"/>
  <c r="AV595" i="60"/>
  <c r="AV596" i="60"/>
  <c r="AV597" i="60"/>
  <c r="AV598" i="60"/>
  <c r="AV599" i="60"/>
  <c r="AV600" i="60"/>
  <c r="AV601" i="60"/>
  <c r="AV602" i="60"/>
  <c r="AV603" i="60"/>
  <c r="AV604" i="60"/>
  <c r="AV605" i="60"/>
  <c r="AV606" i="60"/>
  <c r="AV607" i="60"/>
  <c r="AV608" i="60"/>
  <c r="AV609" i="60"/>
  <c r="AV610" i="60"/>
  <c r="AV611" i="60"/>
  <c r="AV612" i="60"/>
  <c r="AV613" i="60"/>
  <c r="AV614" i="60"/>
  <c r="AV615" i="60"/>
  <c r="AV616" i="60"/>
  <c r="AV617" i="60"/>
  <c r="AV618" i="60"/>
  <c r="AV619" i="60"/>
  <c r="AV620" i="60"/>
  <c r="AV621" i="60"/>
  <c r="AV622" i="60"/>
  <c r="AV623" i="60"/>
  <c r="AV624" i="60"/>
  <c r="AV625" i="60"/>
  <c r="AV626" i="60"/>
  <c r="AV627" i="60"/>
  <c r="AV628" i="60"/>
  <c r="AV629" i="60"/>
  <c r="AV630" i="60"/>
  <c r="AV631" i="60"/>
  <c r="AV632" i="60"/>
  <c r="AV633" i="60"/>
  <c r="AV634" i="60"/>
  <c r="AV635" i="60"/>
  <c r="AV636" i="60"/>
  <c r="AV637" i="60"/>
  <c r="AV638" i="60"/>
  <c r="AV639" i="60"/>
  <c r="AV640" i="60"/>
  <c r="AV641" i="60"/>
  <c r="AV642" i="60"/>
  <c r="AV643" i="60"/>
  <c r="AV644" i="60"/>
  <c r="AV645" i="60"/>
  <c r="AV646" i="60"/>
  <c r="AV647" i="60"/>
  <c r="AV648" i="60"/>
  <c r="AV649" i="60"/>
  <c r="AV650" i="60"/>
  <c r="AV651" i="60"/>
  <c r="AV652" i="60"/>
  <c r="AV653" i="60"/>
  <c r="AV654" i="60"/>
  <c r="AV655" i="60"/>
  <c r="AV656" i="60"/>
  <c r="AV657" i="60"/>
  <c r="AV658" i="60"/>
  <c r="AV659" i="60"/>
  <c r="AV660" i="60"/>
  <c r="AV661" i="60"/>
  <c r="AV662" i="60"/>
  <c r="AV663" i="60"/>
  <c r="AV664" i="60"/>
  <c r="AV665" i="60"/>
  <c r="AV666" i="60"/>
  <c r="AV667" i="60"/>
  <c r="AV668" i="60"/>
  <c r="AV669" i="60"/>
  <c r="AV670" i="60"/>
  <c r="AV671" i="60"/>
  <c r="AV672" i="60"/>
  <c r="AV673" i="60"/>
  <c r="AV674" i="60"/>
  <c r="AV675" i="60"/>
  <c r="AV676" i="60"/>
  <c r="AV677" i="60"/>
  <c r="AV678" i="60"/>
  <c r="AV679" i="60"/>
  <c r="AV680" i="60"/>
  <c r="AV681" i="60"/>
  <c r="AV682" i="60"/>
  <c r="AV683" i="60"/>
  <c r="AV684" i="60"/>
  <c r="AV685" i="60"/>
  <c r="AV686" i="60"/>
  <c r="AV687" i="60"/>
  <c r="AV688" i="60"/>
  <c r="AV689" i="60"/>
  <c r="AV690" i="60"/>
  <c r="AV691" i="60"/>
  <c r="AV692" i="60"/>
  <c r="AV693" i="60"/>
  <c r="AV694" i="60"/>
  <c r="AV695" i="60"/>
  <c r="AV696" i="60"/>
  <c r="AV697" i="60"/>
  <c r="AV698" i="60"/>
  <c r="AV699" i="60"/>
  <c r="AV700" i="60"/>
  <c r="AV701" i="60"/>
  <c r="AV702" i="60"/>
  <c r="AV703" i="60"/>
  <c r="AV704" i="60"/>
  <c r="AV705" i="60"/>
  <c r="AV706" i="60"/>
  <c r="AV707" i="60"/>
  <c r="AV708" i="60"/>
  <c r="AV709" i="60"/>
  <c r="AV710" i="60"/>
  <c r="AV711" i="60"/>
  <c r="AV712" i="60"/>
  <c r="AV713" i="60"/>
  <c r="AV714" i="60"/>
  <c r="AV715" i="60"/>
  <c r="AV716" i="60"/>
  <c r="AV717" i="60"/>
  <c r="AV718" i="60"/>
  <c r="AV719" i="60"/>
  <c r="AV720" i="60"/>
  <c r="AV721" i="60"/>
  <c r="AV722" i="60"/>
  <c r="AV723" i="60"/>
  <c r="AV724" i="60"/>
  <c r="AV725" i="60"/>
  <c r="AV726" i="60"/>
  <c r="AV727" i="60"/>
  <c r="AV728" i="60"/>
  <c r="AV729" i="60"/>
  <c r="AV730" i="60"/>
  <c r="AV731" i="60"/>
  <c r="AV732" i="60"/>
  <c r="AV733" i="60"/>
  <c r="AV734" i="60"/>
  <c r="AV735" i="60"/>
  <c r="AV736" i="60"/>
  <c r="AV737" i="60"/>
  <c r="AV738" i="60"/>
  <c r="AV739" i="60"/>
  <c r="AV740" i="60"/>
  <c r="AV741" i="60"/>
  <c r="AV742" i="60"/>
  <c r="AV743" i="60"/>
  <c r="AV744" i="60"/>
  <c r="AV745" i="60"/>
  <c r="AV746" i="60"/>
  <c r="AV747" i="60"/>
  <c r="AV748" i="60"/>
  <c r="AV749" i="60"/>
  <c r="AV750" i="60"/>
  <c r="AV751" i="60"/>
  <c r="AV752" i="60"/>
  <c r="AV753" i="60"/>
  <c r="AV754" i="60"/>
  <c r="AV755" i="60"/>
  <c r="AV756" i="60"/>
  <c r="AV757" i="60"/>
  <c r="AV758" i="60"/>
  <c r="AV759" i="60"/>
  <c r="AV760" i="60"/>
  <c r="AV761" i="60"/>
  <c r="AV762" i="60"/>
  <c r="AV763" i="60"/>
  <c r="AV764" i="60"/>
  <c r="AV765" i="60"/>
  <c r="AT371" i="60"/>
  <c r="AF24" i="60"/>
  <c r="AT23" i="60"/>
  <c r="F45" i="3"/>
  <c r="AF31" i="60"/>
  <c r="AT14" i="60"/>
  <c r="AT38" i="60"/>
  <c r="AT417" i="60"/>
  <c r="AF40" i="60"/>
  <c r="AF64" i="60"/>
  <c r="AF72" i="60"/>
  <c r="AF80" i="60"/>
  <c r="AF88" i="60"/>
  <c r="AF96" i="60"/>
  <c r="AF104" i="60"/>
  <c r="AF118" i="60"/>
  <c r="AF126" i="60"/>
  <c r="AF133" i="60"/>
  <c r="AF141" i="60"/>
  <c r="AF149" i="60"/>
  <c r="AF157" i="60"/>
  <c r="AF165" i="60"/>
  <c r="AF173" i="60"/>
  <c r="AF181" i="60"/>
  <c r="AF189" i="60"/>
  <c r="AF197" i="60"/>
  <c r="AF205" i="60"/>
  <c r="AF213" i="60"/>
  <c r="AF221" i="60"/>
  <c r="AF228" i="60"/>
  <c r="AF236" i="60"/>
  <c r="AF244" i="60"/>
  <c r="AF252" i="60"/>
  <c r="AF260" i="60"/>
  <c r="AF268" i="60"/>
  <c r="AF276" i="60"/>
  <c r="AF284" i="60"/>
  <c r="AF292" i="60"/>
  <c r="AF300" i="60"/>
  <c r="AF308" i="60"/>
  <c r="AF315" i="60"/>
  <c r="AF322" i="60"/>
  <c r="AF330" i="60"/>
  <c r="AF338" i="60"/>
  <c r="AF346" i="60"/>
  <c r="AF354" i="60"/>
  <c r="AF362" i="60"/>
  <c r="AF368" i="60"/>
  <c r="AF376" i="60"/>
  <c r="AF382" i="60"/>
  <c r="AF390" i="60"/>
  <c r="AF397" i="60"/>
  <c r="AF405" i="60"/>
  <c r="AF412" i="60"/>
  <c r="AF420" i="60"/>
  <c r="AF435" i="60"/>
  <c r="AF443" i="60"/>
  <c r="AF451" i="60"/>
  <c r="AF458" i="60"/>
  <c r="AF464" i="60"/>
  <c r="AF472" i="60"/>
  <c r="AF479" i="60"/>
  <c r="AF487" i="60"/>
  <c r="AF495" i="60"/>
  <c r="AF503" i="60"/>
  <c r="AF511" i="60"/>
  <c r="AF519" i="60"/>
  <c r="AF527" i="60"/>
  <c r="AF535" i="60"/>
  <c r="AF543" i="60"/>
  <c r="AF551" i="60"/>
  <c r="AF559" i="60"/>
  <c r="AF567" i="60"/>
  <c r="AF575" i="60"/>
  <c r="AF583" i="60"/>
  <c r="AF591" i="60"/>
  <c r="AF599" i="60"/>
  <c r="AF607" i="60"/>
  <c r="AF615" i="60"/>
  <c r="AF623" i="60"/>
  <c r="AF631" i="60"/>
  <c r="AF639" i="60"/>
  <c r="AF647" i="60"/>
  <c r="AF655" i="60"/>
  <c r="AF662" i="60"/>
  <c r="AF670" i="60"/>
  <c r="AF678" i="60"/>
  <c r="AF685" i="60"/>
  <c r="AF693" i="60"/>
  <c r="AF701" i="60"/>
  <c r="AF709" i="60"/>
  <c r="AF717" i="60"/>
  <c r="AF724" i="60"/>
  <c r="AF732" i="60"/>
  <c r="AF740" i="60"/>
  <c r="AF748" i="60"/>
  <c r="AF756" i="60"/>
  <c r="AF759" i="60"/>
  <c r="AF764" i="60"/>
  <c r="AF9" i="60"/>
  <c r="AF10" i="60"/>
  <c r="AF11" i="60"/>
  <c r="AF12" i="60"/>
  <c r="AF13" i="60"/>
  <c r="AF14" i="60"/>
  <c r="AF15" i="60"/>
  <c r="AF16" i="60"/>
  <c r="AF17" i="60"/>
  <c r="AF18" i="60"/>
  <c r="AF19" i="60"/>
  <c r="AF20" i="60"/>
  <c r="AF21" i="60"/>
  <c r="AF22" i="60"/>
  <c r="AF23" i="60"/>
  <c r="AG23" i="60"/>
  <c r="AF25" i="60"/>
  <c r="AF26" i="60"/>
  <c r="AF27" i="60"/>
  <c r="AF28" i="60"/>
  <c r="AF29" i="60"/>
  <c r="AF30" i="60"/>
  <c r="AF32" i="60"/>
  <c r="AF33" i="60"/>
  <c r="AF34" i="60"/>
  <c r="AF35" i="60"/>
  <c r="AF36" i="60"/>
  <c r="AF37" i="60"/>
  <c r="AF38" i="60"/>
  <c r="AF39" i="60"/>
  <c r="AF41" i="60"/>
  <c r="AF42" i="60"/>
  <c r="AF43" i="60"/>
  <c r="AF44" i="60"/>
  <c r="AF45" i="60"/>
  <c r="AF46" i="60"/>
  <c r="AF47" i="60"/>
  <c r="AF48" i="60"/>
  <c r="AF49" i="60"/>
  <c r="AF50" i="60"/>
  <c r="AF51" i="60"/>
  <c r="AF52" i="60"/>
  <c r="AF53" i="60"/>
  <c r="AF54" i="60"/>
  <c r="AF55" i="60"/>
  <c r="AF56" i="60"/>
  <c r="AF57" i="60"/>
  <c r="AF58" i="60"/>
  <c r="AF59" i="60"/>
  <c r="AF60" i="60"/>
  <c r="AF61" i="60"/>
  <c r="AF62" i="60"/>
  <c r="AF63" i="60"/>
  <c r="AF65" i="60"/>
  <c r="AF66" i="60"/>
  <c r="AF67" i="60"/>
  <c r="AF68" i="60"/>
  <c r="AF69" i="60"/>
  <c r="AF70" i="60"/>
  <c r="AF71" i="60"/>
  <c r="AF73" i="60"/>
  <c r="AF74" i="60"/>
  <c r="AF75" i="60"/>
  <c r="AF76" i="60"/>
  <c r="AF77" i="60"/>
  <c r="AF78" i="60"/>
  <c r="AF79" i="60"/>
  <c r="AF81" i="60"/>
  <c r="AF82" i="60"/>
  <c r="AF83" i="60"/>
  <c r="AF84" i="60"/>
  <c r="AF85" i="60"/>
  <c r="AF86" i="60"/>
  <c r="AF87" i="60"/>
  <c r="AF89" i="60"/>
  <c r="AF90" i="60"/>
  <c r="AF91" i="60"/>
  <c r="AF92" i="60"/>
  <c r="AF93" i="60"/>
  <c r="AF94" i="60"/>
  <c r="AF95" i="60"/>
  <c r="AF97" i="60"/>
  <c r="AF98" i="60"/>
  <c r="AF99" i="60"/>
  <c r="AF100" i="60"/>
  <c r="AF101" i="60"/>
  <c r="AF102" i="60"/>
  <c r="AF103" i="60"/>
  <c r="AF105" i="60"/>
  <c r="AF106" i="60"/>
  <c r="AF107" i="60"/>
  <c r="AF108" i="60"/>
  <c r="AF109" i="60"/>
  <c r="AF110" i="60"/>
  <c r="AF111" i="60"/>
  <c r="AF112" i="60"/>
  <c r="AF113" i="60"/>
  <c r="AF114" i="60"/>
  <c r="AF115" i="60"/>
  <c r="AF116" i="60"/>
  <c r="AF117" i="60"/>
  <c r="AF119" i="60"/>
  <c r="AF120" i="60"/>
  <c r="AF121" i="60"/>
  <c r="AF122" i="60"/>
  <c r="AF123" i="60"/>
  <c r="AF124" i="60"/>
  <c r="AF125" i="60"/>
  <c r="AF127" i="60"/>
  <c r="AF128" i="60"/>
  <c r="AF129" i="60"/>
  <c r="AF130" i="60"/>
  <c r="AF131" i="60"/>
  <c r="AF132" i="60"/>
  <c r="AF134" i="60"/>
  <c r="AF135" i="60"/>
  <c r="AF136" i="60"/>
  <c r="AF137" i="60"/>
  <c r="AF138" i="60"/>
  <c r="AF139" i="60"/>
  <c r="AF140" i="60"/>
  <c r="AF142" i="60"/>
  <c r="AF143" i="60"/>
  <c r="AF144" i="60"/>
  <c r="AF145" i="60"/>
  <c r="AF146" i="60"/>
  <c r="AF147" i="60"/>
  <c r="AF148" i="60"/>
  <c r="AF150" i="60"/>
  <c r="AF151" i="60"/>
  <c r="AF152" i="60"/>
  <c r="AF153" i="60"/>
  <c r="AF154" i="60"/>
  <c r="AF155" i="60"/>
  <c r="AF156" i="60"/>
  <c r="AF158" i="60"/>
  <c r="AF159" i="60"/>
  <c r="AF160" i="60"/>
  <c r="AF161" i="60"/>
  <c r="AF162" i="60"/>
  <c r="AF163" i="60"/>
  <c r="AF164" i="60"/>
  <c r="AF166" i="60"/>
  <c r="AF167" i="60"/>
  <c r="AF168" i="60"/>
  <c r="AF169" i="60"/>
  <c r="AF170" i="60"/>
  <c r="AF171" i="60"/>
  <c r="AF172" i="60"/>
  <c r="AF174" i="60"/>
  <c r="AF175" i="60"/>
  <c r="AF176" i="60"/>
  <c r="AF177" i="60"/>
  <c r="AF178" i="60"/>
  <c r="AF179" i="60"/>
  <c r="AF180" i="60"/>
  <c r="AF182" i="60"/>
  <c r="AF183" i="60"/>
  <c r="AF184" i="60"/>
  <c r="AF185" i="60"/>
  <c r="AF186" i="60"/>
  <c r="AF187" i="60"/>
  <c r="AF188" i="60"/>
  <c r="AF190" i="60"/>
  <c r="AF191" i="60"/>
  <c r="AF192" i="60"/>
  <c r="AF193" i="60"/>
  <c r="AF194" i="60"/>
  <c r="AF195" i="60"/>
  <c r="AF196" i="60"/>
  <c r="AF198" i="60"/>
  <c r="AF199" i="60"/>
  <c r="AF200" i="60"/>
  <c r="AF201" i="60"/>
  <c r="AF202" i="60"/>
  <c r="AF203" i="60"/>
  <c r="AF204" i="60"/>
  <c r="AF206" i="60"/>
  <c r="AF207" i="60"/>
  <c r="AF208" i="60"/>
  <c r="AF209" i="60"/>
  <c r="AF210" i="60"/>
  <c r="AF211" i="60"/>
  <c r="AF212" i="60"/>
  <c r="AF214" i="60"/>
  <c r="AF215" i="60"/>
  <c r="AF216" i="60"/>
  <c r="AF217" i="60"/>
  <c r="AF218" i="60"/>
  <c r="AF219" i="60"/>
  <c r="AF220" i="60"/>
  <c r="AF222" i="60"/>
  <c r="AF223" i="60"/>
  <c r="AF224" i="60"/>
  <c r="AF225" i="60"/>
  <c r="AF226" i="60"/>
  <c r="AF227" i="60"/>
  <c r="AF229" i="60"/>
  <c r="AF230" i="60"/>
  <c r="AF231" i="60"/>
  <c r="AF232" i="60"/>
  <c r="AF233" i="60"/>
  <c r="AF234" i="60"/>
  <c r="AF235" i="60"/>
  <c r="AF237" i="60"/>
  <c r="AF238" i="60"/>
  <c r="AF239" i="60"/>
  <c r="AF240" i="60"/>
  <c r="AF241" i="60"/>
  <c r="AF242" i="60"/>
  <c r="AF243" i="60"/>
  <c r="AF245" i="60"/>
  <c r="AF246" i="60"/>
  <c r="AF247" i="60"/>
  <c r="AF248" i="60"/>
  <c r="AF249" i="60"/>
  <c r="AF250" i="60"/>
  <c r="AF251" i="60"/>
  <c r="AF253" i="60"/>
  <c r="AF254" i="60"/>
  <c r="AF255" i="60"/>
  <c r="AF256" i="60"/>
  <c r="AF257" i="60"/>
  <c r="AF258" i="60"/>
  <c r="AF259" i="60"/>
  <c r="AF261" i="60"/>
  <c r="AF262" i="60"/>
  <c r="AF263" i="60"/>
  <c r="AF264" i="60"/>
  <c r="AF265" i="60"/>
  <c r="AF266" i="60"/>
  <c r="AF267" i="60"/>
  <c r="AF269" i="60"/>
  <c r="AF270" i="60"/>
  <c r="AF271" i="60"/>
  <c r="AF272" i="60"/>
  <c r="AF273" i="60"/>
  <c r="AF274" i="60"/>
  <c r="AF275" i="60"/>
  <c r="AF277" i="60"/>
  <c r="AF278" i="60"/>
  <c r="AF279" i="60"/>
  <c r="AF280" i="60"/>
  <c r="AF281" i="60"/>
  <c r="AF282" i="60"/>
  <c r="AF283" i="60"/>
  <c r="AF285" i="60"/>
  <c r="AF286" i="60"/>
  <c r="AF287" i="60"/>
  <c r="AF288" i="60"/>
  <c r="AF289" i="60"/>
  <c r="AF290" i="60"/>
  <c r="AF291" i="60"/>
  <c r="AF293" i="60"/>
  <c r="AF294" i="60"/>
  <c r="AF295" i="60"/>
  <c r="AF296" i="60"/>
  <c r="AF297" i="60"/>
  <c r="AF298" i="60"/>
  <c r="AF299" i="60"/>
  <c r="AF301" i="60"/>
  <c r="AF302" i="60"/>
  <c r="AF303" i="60"/>
  <c r="AF304" i="60"/>
  <c r="AF305" i="60"/>
  <c r="AF306" i="60"/>
  <c r="AF307" i="60"/>
  <c r="AF309" i="60"/>
  <c r="AF310" i="60"/>
  <c r="AF311" i="60"/>
  <c r="AF312" i="60"/>
  <c r="AF313" i="60"/>
  <c r="AF314" i="60"/>
  <c r="AF316" i="60"/>
  <c r="AF317" i="60"/>
  <c r="AF318" i="60"/>
  <c r="AF319" i="60"/>
  <c r="AF320" i="60"/>
  <c r="AF321" i="60"/>
  <c r="AF323" i="60"/>
  <c r="AF324" i="60"/>
  <c r="AF325" i="60"/>
  <c r="AF326" i="60"/>
  <c r="AF327" i="60"/>
  <c r="AF328" i="60"/>
  <c r="AF329" i="60"/>
  <c r="AF331" i="60"/>
  <c r="AF332" i="60"/>
  <c r="AF333" i="60"/>
  <c r="AF334" i="60"/>
  <c r="AF335" i="60"/>
  <c r="AF336" i="60"/>
  <c r="AF337" i="60"/>
  <c r="AF339" i="60"/>
  <c r="AF340" i="60"/>
  <c r="AF341" i="60"/>
  <c r="AF342" i="60"/>
  <c r="AF343" i="60"/>
  <c r="AF344" i="60"/>
  <c r="AF345" i="60"/>
  <c r="AF347" i="60"/>
  <c r="AF348" i="60"/>
  <c r="AF349" i="60"/>
  <c r="AF350" i="60"/>
  <c r="AF351" i="60"/>
  <c r="AF352" i="60"/>
  <c r="AF353" i="60"/>
  <c r="AF355" i="60"/>
  <c r="AF356" i="60"/>
  <c r="AF357" i="60"/>
  <c r="AF358" i="60"/>
  <c r="AF359" i="60"/>
  <c r="AF360" i="60"/>
  <c r="AF361" i="60"/>
  <c r="AF363" i="60"/>
  <c r="AF364" i="60"/>
  <c r="AF365" i="60"/>
  <c r="AF366" i="60"/>
  <c r="AF367" i="60"/>
  <c r="AF369" i="60"/>
  <c r="AF370" i="60"/>
  <c r="AF371" i="60"/>
  <c r="AF372" i="60"/>
  <c r="AF373" i="60"/>
  <c r="AF374" i="60"/>
  <c r="AF375" i="60"/>
  <c r="AF377" i="60"/>
  <c r="AF378" i="60"/>
  <c r="AF379" i="60"/>
  <c r="AF380" i="60"/>
  <c r="AF381" i="60"/>
  <c r="AF383" i="60"/>
  <c r="AF384" i="60"/>
  <c r="AF385" i="60"/>
  <c r="AF386" i="60"/>
  <c r="AF387" i="60"/>
  <c r="AF388" i="60"/>
  <c r="AF389" i="60"/>
  <c r="AF391" i="60"/>
  <c r="AF392" i="60"/>
  <c r="AF393" i="60"/>
  <c r="AF394" i="60"/>
  <c r="AF395" i="60"/>
  <c r="AF396" i="60"/>
  <c r="AF398" i="60"/>
  <c r="AF399" i="60"/>
  <c r="AF400" i="60"/>
  <c r="AF401" i="60"/>
  <c r="AF402" i="60"/>
  <c r="AF403" i="60"/>
  <c r="AF404" i="60"/>
  <c r="AF406" i="60"/>
  <c r="AF407" i="60"/>
  <c r="AF408" i="60"/>
  <c r="AF409" i="60"/>
  <c r="AF410" i="60"/>
  <c r="AF411" i="60"/>
  <c r="AF413" i="60"/>
  <c r="AF414" i="60"/>
  <c r="AF415" i="60"/>
  <c r="AF416" i="60"/>
  <c r="AF417" i="60"/>
  <c r="AF418" i="60"/>
  <c r="AF419" i="60"/>
  <c r="AF421" i="60"/>
  <c r="AF422" i="60"/>
  <c r="AF423" i="60"/>
  <c r="AF424" i="60"/>
  <c r="AF425" i="60"/>
  <c r="AF426" i="60"/>
  <c r="AF427" i="60"/>
  <c r="AF428" i="60"/>
  <c r="AF429" i="60"/>
  <c r="AF430" i="60"/>
  <c r="AF431" i="60"/>
  <c r="AF432" i="60"/>
  <c r="AF433" i="60"/>
  <c r="AF434" i="60"/>
  <c r="AF436" i="60"/>
  <c r="AF437" i="60"/>
  <c r="AF438" i="60"/>
  <c r="AF439" i="60"/>
  <c r="AF440" i="60"/>
  <c r="AF441" i="60"/>
  <c r="AF442" i="60"/>
  <c r="AF444" i="60"/>
  <c r="AF445" i="60"/>
  <c r="AF446" i="60"/>
  <c r="AF447" i="60"/>
  <c r="AF448" i="60"/>
  <c r="AF449" i="60"/>
  <c r="AF450" i="60"/>
  <c r="AF452" i="60"/>
  <c r="AF453" i="60"/>
  <c r="AF454" i="60"/>
  <c r="AF455" i="60"/>
  <c r="AF456" i="60"/>
  <c r="AF457" i="60"/>
  <c r="AF459" i="60"/>
  <c r="AF460" i="60"/>
  <c r="AF461" i="60"/>
  <c r="AF462" i="60"/>
  <c r="AF463" i="60"/>
  <c r="AF465" i="60"/>
  <c r="AF466" i="60"/>
  <c r="AF467" i="60"/>
  <c r="AF468" i="60"/>
  <c r="AF469" i="60"/>
  <c r="AF470" i="60"/>
  <c r="AF471" i="60"/>
  <c r="AF473" i="60"/>
  <c r="AF474" i="60"/>
  <c r="AF475" i="60"/>
  <c r="AF476" i="60"/>
  <c r="AF477" i="60"/>
  <c r="AF478" i="60"/>
  <c r="AF480" i="60"/>
  <c r="AF481" i="60"/>
  <c r="AF482" i="60"/>
  <c r="AF483" i="60"/>
  <c r="AF484" i="60"/>
  <c r="AF485" i="60"/>
  <c r="AF486" i="60"/>
  <c r="AF488" i="60"/>
  <c r="AF489" i="60"/>
  <c r="AF490" i="60"/>
  <c r="AF491" i="60"/>
  <c r="AF492" i="60"/>
  <c r="AF493" i="60"/>
  <c r="AF494" i="60"/>
  <c r="AF496" i="60"/>
  <c r="AF497" i="60"/>
  <c r="AF498" i="60"/>
  <c r="AF499" i="60"/>
  <c r="AF500" i="60"/>
  <c r="AF501" i="60"/>
  <c r="AF502" i="60"/>
  <c r="AF504" i="60"/>
  <c r="AF505" i="60"/>
  <c r="AF506" i="60"/>
  <c r="AF507" i="60"/>
  <c r="AF508" i="60"/>
  <c r="AF509" i="60"/>
  <c r="AF510" i="60"/>
  <c r="AF512" i="60"/>
  <c r="AF513" i="60"/>
  <c r="AF514" i="60"/>
  <c r="AF515" i="60"/>
  <c r="AF516" i="60"/>
  <c r="AF517" i="60"/>
  <c r="AF518" i="60"/>
  <c r="AF520" i="60"/>
  <c r="AF521" i="60"/>
  <c r="AF522" i="60"/>
  <c r="AF523" i="60"/>
  <c r="AF524" i="60"/>
  <c r="AF525" i="60"/>
  <c r="AF526" i="60"/>
  <c r="AF528" i="60"/>
  <c r="AF529" i="60"/>
  <c r="AF530" i="60"/>
  <c r="AF531" i="60"/>
  <c r="AF532" i="60"/>
  <c r="AF533" i="60"/>
  <c r="AF534" i="60"/>
  <c r="AF536" i="60"/>
  <c r="AF537" i="60"/>
  <c r="AF538" i="60"/>
  <c r="AF539" i="60"/>
  <c r="AF540" i="60"/>
  <c r="AF541" i="60"/>
  <c r="AF542" i="60"/>
  <c r="AF544" i="60"/>
  <c r="AF545" i="60"/>
  <c r="AF546" i="60"/>
  <c r="AF547" i="60"/>
  <c r="AF548" i="60"/>
  <c r="AF549" i="60"/>
  <c r="AF550" i="60"/>
  <c r="AF552" i="60"/>
  <c r="AF553" i="60"/>
  <c r="AF554" i="60"/>
  <c r="AF555" i="60"/>
  <c r="AF556" i="60"/>
  <c r="AF557" i="60"/>
  <c r="AF558" i="60"/>
  <c r="AF560" i="60"/>
  <c r="AF561" i="60"/>
  <c r="AF562" i="60"/>
  <c r="AF563" i="60"/>
  <c r="AF564" i="60"/>
  <c r="AF565" i="60"/>
  <c r="AF566" i="60"/>
  <c r="AF568" i="60"/>
  <c r="AF569" i="60"/>
  <c r="AF570" i="60"/>
  <c r="AF571" i="60"/>
  <c r="AF572" i="60"/>
  <c r="AF573" i="60"/>
  <c r="AF574" i="60"/>
  <c r="AF576" i="60"/>
  <c r="AF577" i="60"/>
  <c r="AF578" i="60"/>
  <c r="AF579" i="60"/>
  <c r="AF580" i="60"/>
  <c r="AF581" i="60"/>
  <c r="AF582" i="60"/>
  <c r="AF584" i="60"/>
  <c r="AF585" i="60"/>
  <c r="AF586" i="60"/>
  <c r="AF587" i="60"/>
  <c r="AF588" i="60"/>
  <c r="AF589" i="60"/>
  <c r="AF590" i="60"/>
  <c r="AF592" i="60"/>
  <c r="AF593" i="60"/>
  <c r="AF594" i="60"/>
  <c r="AF595" i="60"/>
  <c r="AF596" i="60"/>
  <c r="AF597" i="60"/>
  <c r="AF598" i="60"/>
  <c r="AF600" i="60"/>
  <c r="AF601" i="60"/>
  <c r="AF602" i="60"/>
  <c r="AF603" i="60"/>
  <c r="AF604" i="60"/>
  <c r="AF605" i="60"/>
  <c r="AF606" i="60"/>
  <c r="AF608" i="60"/>
  <c r="AF609" i="60"/>
  <c r="AF610" i="60"/>
  <c r="AF611" i="60"/>
  <c r="AF612" i="60"/>
  <c r="AF613" i="60"/>
  <c r="AF614" i="60"/>
  <c r="AF616" i="60"/>
  <c r="AF617" i="60"/>
  <c r="AF618" i="60"/>
  <c r="AF619" i="60"/>
  <c r="AF620" i="60"/>
  <c r="AF621" i="60"/>
  <c r="AF622" i="60"/>
  <c r="AF624" i="60"/>
  <c r="AF625" i="60"/>
  <c r="AF626" i="60"/>
  <c r="AF627" i="60"/>
  <c r="AF628" i="60"/>
  <c r="AF629" i="60"/>
  <c r="AF630" i="60"/>
  <c r="AF632" i="60"/>
  <c r="AF633" i="60"/>
  <c r="AF634" i="60"/>
  <c r="AF635" i="60"/>
  <c r="AF636" i="60"/>
  <c r="AF637" i="60"/>
  <c r="AF638" i="60"/>
  <c r="AF640" i="60"/>
  <c r="AF641" i="60"/>
  <c r="AF642" i="60"/>
  <c r="AF643" i="60"/>
  <c r="AF644" i="60"/>
  <c r="AF645" i="60"/>
  <c r="AF646" i="60"/>
  <c r="AF648" i="60"/>
  <c r="AF649" i="60"/>
  <c r="AF650" i="60"/>
  <c r="AF651" i="60"/>
  <c r="AF652" i="60"/>
  <c r="AF653" i="60"/>
  <c r="AF654" i="60"/>
  <c r="AF656" i="60"/>
  <c r="AF657" i="60"/>
  <c r="AF658" i="60"/>
  <c r="AF659" i="60"/>
  <c r="AF660" i="60"/>
  <c r="AF661" i="60"/>
  <c r="AF663" i="60"/>
  <c r="AF664" i="60"/>
  <c r="AF665" i="60"/>
  <c r="AF666" i="60"/>
  <c r="AF667" i="60"/>
  <c r="AF668" i="60"/>
  <c r="AF669" i="60"/>
  <c r="AF671" i="60"/>
  <c r="AF672" i="60"/>
  <c r="AF673" i="60"/>
  <c r="AF674" i="60"/>
  <c r="AF675" i="60"/>
  <c r="AF676" i="60"/>
  <c r="AF677" i="60"/>
  <c r="AF679" i="60"/>
  <c r="AF680" i="60"/>
  <c r="AF681" i="60"/>
  <c r="AF682" i="60"/>
  <c r="AF683" i="60"/>
  <c r="AF684" i="60"/>
  <c r="AF686" i="60"/>
  <c r="AF687" i="60"/>
  <c r="AF688" i="60"/>
  <c r="AF689" i="60"/>
  <c r="AF690" i="60"/>
  <c r="AF691" i="60"/>
  <c r="AF692" i="60"/>
  <c r="AF694" i="60"/>
  <c r="AF695" i="60"/>
  <c r="AF696" i="60"/>
  <c r="AF697" i="60"/>
  <c r="AF698" i="60"/>
  <c r="AF699" i="60"/>
  <c r="AF700" i="60"/>
  <c r="AF702" i="60"/>
  <c r="AF703" i="60"/>
  <c r="AF704" i="60"/>
  <c r="AF705" i="60"/>
  <c r="AF706" i="60"/>
  <c r="AF707" i="60"/>
  <c r="AF708" i="60"/>
  <c r="AF710" i="60"/>
  <c r="AF711" i="60"/>
  <c r="AF712" i="60"/>
  <c r="AF713" i="60"/>
  <c r="AF714" i="60"/>
  <c r="AF715" i="60"/>
  <c r="AF716" i="60"/>
  <c r="AF718" i="60"/>
  <c r="AF719" i="60"/>
  <c r="AF720" i="60"/>
  <c r="AF721" i="60"/>
  <c r="AF722" i="60"/>
  <c r="AF723" i="60"/>
  <c r="AF725" i="60"/>
  <c r="AF726" i="60"/>
  <c r="AF727" i="60"/>
  <c r="AF728" i="60"/>
  <c r="AF729" i="60"/>
  <c r="AF730" i="60"/>
  <c r="AF731" i="60"/>
  <c r="AF733" i="60"/>
  <c r="AF734" i="60"/>
  <c r="AF735" i="60"/>
  <c r="AF736" i="60"/>
  <c r="AF737" i="60"/>
  <c r="AF738" i="60"/>
  <c r="AF739" i="60"/>
  <c r="AF741" i="60"/>
  <c r="AF742" i="60"/>
  <c r="AF743" i="60"/>
  <c r="AF744" i="60"/>
  <c r="AF745" i="60"/>
  <c r="AF746" i="60"/>
  <c r="AF747" i="60"/>
  <c r="AF749" i="60"/>
  <c r="AF750" i="60"/>
  <c r="AF751" i="60"/>
  <c r="AF752" i="60"/>
  <c r="AF753" i="60"/>
  <c r="AF754" i="60"/>
  <c r="AF755" i="60"/>
  <c r="AF757" i="60"/>
  <c r="AF758" i="60"/>
  <c r="AF760" i="60"/>
  <c r="AF761" i="60"/>
  <c r="AF762" i="60"/>
  <c r="AF763" i="60"/>
  <c r="AF765" i="60"/>
  <c r="AF8" i="60"/>
  <c r="AG8" i="60"/>
  <c r="F57" i="3"/>
  <c r="F55" i="3"/>
  <c r="F53" i="3"/>
  <c r="F51" i="3"/>
  <c r="F49" i="3"/>
  <c r="F47" i="3"/>
  <c r="F43" i="3"/>
  <c r="F41" i="3"/>
  <c r="F39" i="3"/>
  <c r="F36" i="3"/>
  <c r="F25" i="3"/>
  <c r="F23" i="3"/>
  <c r="F34" i="3"/>
  <c r="AT24" i="60"/>
  <c r="AT227" i="60"/>
  <c r="AT364" i="60"/>
  <c r="AT378" i="60"/>
  <c r="AT395" i="60"/>
  <c r="AT259" i="60"/>
  <c r="AT366" i="60"/>
  <c r="AT379" i="60"/>
  <c r="AT398" i="60"/>
  <c r="AT283" i="60"/>
  <c r="AT405" i="60"/>
  <c r="AT84" i="60"/>
  <c r="AT356" i="60"/>
  <c r="AT368" i="60"/>
  <c r="AT380" i="60"/>
  <c r="AT413" i="60"/>
  <c r="AT90" i="60"/>
  <c r="AT359" i="60"/>
  <c r="AT387" i="60"/>
  <c r="AT416" i="60"/>
  <c r="AT133" i="60"/>
  <c r="AT360" i="60"/>
  <c r="AT374" i="60"/>
  <c r="AT390" i="60"/>
  <c r="AT40" i="60"/>
  <c r="AT168" i="60"/>
  <c r="AT361" i="60"/>
  <c r="AT375" i="60"/>
  <c r="AT391" i="60"/>
  <c r="AT555" i="60"/>
  <c r="AT178" i="60"/>
  <c r="AT362" i="60"/>
  <c r="AT377" i="60"/>
  <c r="AT394" i="60"/>
  <c r="AT747" i="60"/>
  <c r="AT763" i="60"/>
  <c r="AT755" i="60"/>
  <c r="AT739" i="60"/>
  <c r="AT731" i="60"/>
  <c r="AT723" i="60"/>
  <c r="AT716" i="60"/>
  <c r="AT708" i="60"/>
  <c r="AT700" i="60"/>
  <c r="AT692" i="60"/>
  <c r="AT684" i="60"/>
  <c r="AT677" i="60"/>
  <c r="AT663" i="60"/>
  <c r="AT632" i="60"/>
  <c r="AT600" i="60"/>
  <c r="AT568" i="60"/>
  <c r="AT536" i="60"/>
  <c r="AT504" i="60"/>
  <c r="AT473" i="60"/>
  <c r="AT444" i="60"/>
  <c r="AT383" i="60"/>
  <c r="AT355" i="60"/>
  <c r="AT323" i="60"/>
  <c r="AT293" i="60"/>
  <c r="AT261" i="60"/>
  <c r="AT229" i="60"/>
  <c r="AT198" i="60"/>
  <c r="AT166" i="60"/>
  <c r="AT134" i="60"/>
  <c r="AT104" i="60"/>
  <c r="AT72" i="60"/>
  <c r="AT9" i="60"/>
  <c r="AT17" i="60"/>
  <c r="AT25" i="60"/>
  <c r="AT33" i="60"/>
  <c r="AT41" i="60"/>
  <c r="AT49" i="60"/>
  <c r="AT57" i="60"/>
  <c r="AT65" i="60"/>
  <c r="AT73" i="60"/>
  <c r="AT81" i="60"/>
  <c r="AT89" i="60"/>
  <c r="AT97" i="60"/>
  <c r="AT105" i="60"/>
  <c r="AT112" i="60"/>
  <c r="AT120" i="60"/>
  <c r="AT128" i="60"/>
  <c r="AT135" i="60"/>
  <c r="AT143" i="60"/>
  <c r="AT151" i="60"/>
  <c r="AT159" i="60"/>
  <c r="AT167" i="60"/>
  <c r="AT175" i="60"/>
  <c r="AT183" i="60"/>
  <c r="AT191" i="60"/>
  <c r="AT199" i="60"/>
  <c r="AT207" i="60"/>
  <c r="AT215" i="60"/>
  <c r="AT223" i="60"/>
  <c r="AT230" i="60"/>
  <c r="AT238" i="60"/>
  <c r="AT246" i="60"/>
  <c r="AT254" i="60"/>
  <c r="AT262" i="60"/>
  <c r="AT270" i="60"/>
  <c r="AT278" i="60"/>
  <c r="AT286" i="60"/>
  <c r="AT294" i="60"/>
  <c r="AT302" i="60"/>
  <c r="AT310" i="60"/>
  <c r="AT317" i="60"/>
  <c r="AT324" i="60"/>
  <c r="AT332" i="60"/>
  <c r="AT340" i="60"/>
  <c r="AT348" i="60"/>
  <c r="AT363" i="60"/>
  <c r="AT370" i="60"/>
  <c r="AT384" i="60"/>
  <c r="AT392" i="60"/>
  <c r="AT399" i="60"/>
  <c r="AT414" i="60"/>
  <c r="AT422" i="60"/>
  <c r="AT429" i="60"/>
  <c r="AT437" i="60"/>
  <c r="AT445" i="60"/>
  <c r="AT459" i="60"/>
  <c r="AT466" i="60"/>
  <c r="AT474" i="60"/>
  <c r="AT481" i="60"/>
  <c r="AT489" i="60"/>
  <c r="AT497" i="60"/>
  <c r="AT505" i="60"/>
  <c r="AT513" i="60"/>
  <c r="AT521" i="60"/>
  <c r="AT529" i="60"/>
  <c r="AT537" i="60"/>
  <c r="AT545" i="60"/>
  <c r="AT553" i="60"/>
  <c r="AT561" i="60"/>
  <c r="AT569" i="60"/>
  <c r="AT577" i="60"/>
  <c r="AT585" i="60"/>
  <c r="AT593" i="60"/>
  <c r="AT601" i="60"/>
  <c r="AT609" i="60"/>
  <c r="AT617" i="60"/>
  <c r="AT625" i="60"/>
  <c r="AT633" i="60"/>
  <c r="AT641" i="60"/>
  <c r="AT649" i="60"/>
  <c r="AT656" i="60"/>
  <c r="AT664" i="60"/>
  <c r="AT10" i="60"/>
  <c r="AT18" i="60"/>
  <c r="AT26" i="60"/>
  <c r="AT34" i="60"/>
  <c r="AT42" i="60"/>
  <c r="AT50" i="60"/>
  <c r="AT58" i="60"/>
  <c r="AT66" i="60"/>
  <c r="AT74" i="60"/>
  <c r="AT82" i="60"/>
  <c r="AT98" i="60"/>
  <c r="AT106" i="60"/>
  <c r="AT113" i="60"/>
  <c r="AT121" i="60"/>
  <c r="AT136" i="60"/>
  <c r="AT144" i="60"/>
  <c r="AT152" i="60"/>
  <c r="AT160" i="60"/>
  <c r="AT176" i="60"/>
  <c r="AT184" i="60"/>
  <c r="AT192" i="60"/>
  <c r="AT200" i="60"/>
  <c r="AT208" i="60"/>
  <c r="AT216" i="60"/>
  <c r="AT231" i="60"/>
  <c r="AT239" i="60"/>
  <c r="AT247" i="60"/>
  <c r="AT255" i="60"/>
  <c r="AT263" i="60"/>
  <c r="AT271" i="60"/>
  <c r="AT279" i="60"/>
  <c r="AT287" i="60"/>
  <c r="AT295" i="60"/>
  <c r="AT303" i="60"/>
  <c r="AT311" i="60"/>
  <c r="AT318" i="60"/>
  <c r="AT325" i="60"/>
  <c r="AT333" i="60"/>
  <c r="AT341" i="60"/>
  <c r="AT349" i="60"/>
  <c r="AT357" i="60"/>
  <c r="AT385" i="60"/>
  <c r="AT400" i="60"/>
  <c r="AT407" i="60"/>
  <c r="AT415" i="60"/>
  <c r="AT423" i="60"/>
  <c r="AT430" i="60"/>
  <c r="AT438" i="60"/>
  <c r="AT446" i="60"/>
  <c r="AT453" i="60"/>
  <c r="AT460" i="60"/>
  <c r="AT467" i="60"/>
  <c r="AT475" i="60"/>
  <c r="AT482" i="60"/>
  <c r="AT490" i="60"/>
  <c r="AT498" i="60"/>
  <c r="AT506" i="60"/>
  <c r="AT514" i="60"/>
  <c r="AT522" i="60"/>
  <c r="AT530" i="60"/>
  <c r="AT538" i="60"/>
  <c r="AT546" i="60"/>
  <c r="AT554" i="60"/>
  <c r="AT562" i="60"/>
  <c r="AT570" i="60"/>
  <c r="AT578" i="60"/>
  <c r="AT586" i="60"/>
  <c r="AT594" i="60"/>
  <c r="AT602" i="60"/>
  <c r="AT610" i="60"/>
  <c r="AT618" i="60"/>
  <c r="AT626" i="60"/>
  <c r="AT634" i="60"/>
  <c r="AT642" i="60"/>
  <c r="AT650" i="60"/>
  <c r="AT657" i="60"/>
  <c r="AT665" i="60"/>
  <c r="AT11" i="60"/>
  <c r="AT19" i="60"/>
  <c r="AT27" i="60"/>
  <c r="AT35" i="60"/>
  <c r="AT43" i="60"/>
  <c r="AT51" i="60"/>
  <c r="AT59" i="60"/>
  <c r="AT67" i="60"/>
  <c r="AT75" i="60"/>
  <c r="AT83" i="60"/>
  <c r="AT91" i="60"/>
  <c r="AT99" i="60"/>
  <c r="AT107" i="60"/>
  <c r="AT114" i="60"/>
  <c r="AT122" i="60"/>
  <c r="AT129" i="60"/>
  <c r="AT137" i="60"/>
  <c r="AT145" i="60"/>
  <c r="AT153" i="60"/>
  <c r="AT161" i="60"/>
  <c r="AT169" i="60"/>
  <c r="AT177" i="60"/>
  <c r="AT185" i="60"/>
  <c r="AT193" i="60"/>
  <c r="AT201" i="60"/>
  <c r="AT209" i="60"/>
  <c r="AT217" i="60"/>
  <c r="AT224" i="60"/>
  <c r="AT232" i="60"/>
  <c r="AT240" i="60"/>
  <c r="AT248" i="60"/>
  <c r="AT256" i="60"/>
  <c r="AT264" i="60"/>
  <c r="AT272" i="60"/>
  <c r="AT280" i="60"/>
  <c r="AT288" i="60"/>
  <c r="AT296" i="60"/>
  <c r="AT304" i="60"/>
  <c r="AT319" i="60"/>
  <c r="AT326" i="60"/>
  <c r="AT334" i="60"/>
  <c r="AT342" i="60"/>
  <c r="AT350" i="60"/>
  <c r="AT358" i="60"/>
  <c r="AT365" i="60"/>
  <c r="AT372" i="60"/>
  <c r="AT386" i="60"/>
  <c r="AT393" i="60"/>
  <c r="AT401" i="60"/>
  <c r="AT408" i="60"/>
  <c r="AT424" i="60"/>
  <c r="AT431" i="60"/>
  <c r="AT439" i="60"/>
  <c r="AT447" i="60"/>
  <c r="AT454" i="60"/>
  <c r="AT461" i="60"/>
  <c r="AT468" i="60"/>
  <c r="AT476" i="60"/>
  <c r="AT483" i="60"/>
  <c r="AT491" i="60"/>
  <c r="AT499" i="60"/>
  <c r="AT507" i="60"/>
  <c r="AT515" i="60"/>
  <c r="AT523" i="60"/>
  <c r="AT531" i="60"/>
  <c r="AT539" i="60"/>
  <c r="AT547" i="60"/>
  <c r="AT563" i="60"/>
  <c r="AT571" i="60"/>
  <c r="AT579" i="60"/>
  <c r="AT587" i="60"/>
  <c r="AT595" i="60"/>
  <c r="AT603" i="60"/>
  <c r="AT611" i="60"/>
  <c r="AT619" i="60"/>
  <c r="AT627" i="60"/>
  <c r="AT635" i="60"/>
  <c r="AT643" i="60"/>
  <c r="AT651" i="60"/>
  <c r="AT658" i="60"/>
  <c r="AT666" i="60"/>
  <c r="AT12" i="60"/>
  <c r="AT20" i="60"/>
  <c r="AT28" i="60"/>
  <c r="AT36" i="60"/>
  <c r="AT44" i="60"/>
  <c r="AT60" i="60"/>
  <c r="AT68" i="60"/>
  <c r="AT76" i="60"/>
  <c r="AT92" i="60"/>
  <c r="AT100" i="60"/>
  <c r="AT108" i="60"/>
  <c r="AT115" i="60"/>
  <c r="AT123" i="60"/>
  <c r="AT130" i="60"/>
  <c r="AT138" i="60"/>
  <c r="AT146" i="60"/>
  <c r="AT154" i="60"/>
  <c r="AT162" i="60"/>
  <c r="AT170" i="60"/>
  <c r="AT186" i="60"/>
  <c r="AT194" i="60"/>
  <c r="AT202" i="60"/>
  <c r="AT210" i="60"/>
  <c r="AT218" i="60"/>
  <c r="AT225" i="60"/>
  <c r="AT233" i="60"/>
  <c r="AT241" i="60"/>
  <c r="AT249" i="60"/>
  <c r="AT257" i="60"/>
  <c r="AT265" i="60"/>
  <c r="AT273" i="60"/>
  <c r="AT281" i="60"/>
  <c r="AT289" i="60"/>
  <c r="AT297" i="60"/>
  <c r="AT305" i="60"/>
  <c r="AT312" i="60"/>
  <c r="AT327" i="60"/>
  <c r="AT335" i="60"/>
  <c r="AT343" i="60"/>
  <c r="AT351" i="60"/>
  <c r="AT373" i="60"/>
  <c r="AT402" i="60"/>
  <c r="AT409" i="60"/>
  <c r="AT425" i="60"/>
  <c r="AT432" i="60"/>
  <c r="AT440" i="60"/>
  <c r="AT448" i="60"/>
  <c r="AT455" i="60"/>
  <c r="AT462" i="60"/>
  <c r="AT469" i="60"/>
  <c r="AT477" i="60"/>
  <c r="AT484" i="60"/>
  <c r="AT492" i="60"/>
  <c r="AT500" i="60"/>
  <c r="AT508" i="60"/>
  <c r="AT516" i="60"/>
  <c r="AT524" i="60"/>
  <c r="AT532" i="60"/>
  <c r="AT540" i="60"/>
  <c r="AT548" i="60"/>
  <c r="AT556" i="60"/>
  <c r="AT564" i="60"/>
  <c r="AT572" i="60"/>
  <c r="AT580" i="60"/>
  <c r="AT588" i="60"/>
  <c r="AT596" i="60"/>
  <c r="AT604" i="60"/>
  <c r="AT612" i="60"/>
  <c r="AT620" i="60"/>
  <c r="AT628" i="60"/>
  <c r="AT636" i="60"/>
  <c r="AT644" i="60"/>
  <c r="AT652" i="60"/>
  <c r="AT659" i="60"/>
  <c r="AT667" i="60"/>
  <c r="AT13" i="60"/>
  <c r="AT21" i="60"/>
  <c r="AT29" i="60"/>
  <c r="AT37" i="60"/>
  <c r="AT45" i="60"/>
  <c r="AT53" i="60"/>
  <c r="AT61" i="60"/>
  <c r="AT69" i="60"/>
  <c r="AT77" i="60"/>
  <c r="AT85" i="60"/>
  <c r="AT93" i="60"/>
  <c r="AT101" i="60"/>
  <c r="AT109" i="60"/>
  <c r="AT116" i="60"/>
  <c r="AT124" i="60"/>
  <c r="AT131" i="60"/>
  <c r="AT139" i="60"/>
  <c r="AT147" i="60"/>
  <c r="AT155" i="60"/>
  <c r="AT163" i="60"/>
  <c r="AT171" i="60"/>
  <c r="AT179" i="60"/>
  <c r="AT187" i="60"/>
  <c r="AT195" i="60"/>
  <c r="AT203" i="60"/>
  <c r="AT211" i="60"/>
  <c r="AT219" i="60"/>
  <c r="AT226" i="60"/>
  <c r="AT234" i="60"/>
  <c r="AT242" i="60"/>
  <c r="AT250" i="60"/>
  <c r="AT258" i="60"/>
  <c r="AT266" i="60"/>
  <c r="AT274" i="60"/>
  <c r="AT282" i="60"/>
  <c r="AT290" i="60"/>
  <c r="AT298" i="60"/>
  <c r="AT306" i="60"/>
  <c r="AT313" i="60"/>
  <c r="AT320" i="60"/>
  <c r="AT328" i="60"/>
  <c r="AT336" i="60"/>
  <c r="AT344" i="60"/>
  <c r="AT352" i="60"/>
  <c r="AT388" i="60"/>
  <c r="AT403" i="60"/>
  <c r="AT410" i="60"/>
  <c r="AT418" i="60"/>
  <c r="AT426" i="60"/>
  <c r="AT433" i="60"/>
  <c r="AT441" i="60"/>
  <c r="AT449" i="60"/>
  <c r="AT456" i="60"/>
  <c r="AT463" i="60"/>
  <c r="AT470" i="60"/>
  <c r="AT478" i="60"/>
  <c r="AT485" i="60"/>
  <c r="AT493" i="60"/>
  <c r="AT501" i="60"/>
  <c r="AT509" i="60"/>
  <c r="AT517" i="60"/>
  <c r="AT525" i="60"/>
  <c r="AT533" i="60"/>
  <c r="AT541" i="60"/>
  <c r="AT549" i="60"/>
  <c r="AT557" i="60"/>
  <c r="AT565" i="60"/>
  <c r="AT573" i="60"/>
  <c r="AT581" i="60"/>
  <c r="AT589" i="60"/>
  <c r="AT597" i="60"/>
  <c r="AT605" i="60"/>
  <c r="AT613" i="60"/>
  <c r="AT621" i="60"/>
  <c r="AT629" i="60"/>
  <c r="AT637" i="60"/>
  <c r="AT645" i="60"/>
  <c r="AT653" i="60"/>
  <c r="AT660" i="60"/>
  <c r="AT668" i="60"/>
  <c r="AT22" i="60"/>
  <c r="AT30" i="60"/>
  <c r="AT46" i="60"/>
  <c r="AT54" i="60"/>
  <c r="AT62" i="60"/>
  <c r="AT70" i="60"/>
  <c r="AT78" i="60"/>
  <c r="AT86" i="60"/>
  <c r="AT94" i="60"/>
  <c r="AT102" i="60"/>
  <c r="AT110" i="60"/>
  <c r="AT117" i="60"/>
  <c r="AT125" i="60"/>
  <c r="AT132" i="60"/>
  <c r="AT140" i="60"/>
  <c r="AT148" i="60"/>
  <c r="AT156" i="60"/>
  <c r="AT164" i="60"/>
  <c r="AT172" i="60"/>
  <c r="AT180" i="60"/>
  <c r="AT188" i="60"/>
  <c r="AT196" i="60"/>
  <c r="AT204" i="60"/>
  <c r="AT212" i="60"/>
  <c r="AT220" i="60"/>
  <c r="AT235" i="60"/>
  <c r="AT243" i="60"/>
  <c r="AT251" i="60"/>
  <c r="AT267" i="60"/>
  <c r="AT275" i="60"/>
  <c r="AT291" i="60"/>
  <c r="AT299" i="60"/>
  <c r="AT307" i="60"/>
  <c r="AT314" i="60"/>
  <c r="AT321" i="60"/>
  <c r="AT329" i="60"/>
  <c r="AT337" i="60"/>
  <c r="AT345" i="60"/>
  <c r="AT353" i="60"/>
  <c r="AT367" i="60"/>
  <c r="AT381" i="60"/>
  <c r="AT389" i="60"/>
  <c r="AT396" i="60"/>
  <c r="AT404" i="60"/>
  <c r="AT411" i="60"/>
  <c r="AT419" i="60"/>
  <c r="AT427" i="60"/>
  <c r="AT434" i="60"/>
  <c r="AT442" i="60"/>
  <c r="AT450" i="60"/>
  <c r="AT457" i="60"/>
  <c r="AT471" i="60"/>
  <c r="AT486" i="60"/>
  <c r="AT494" i="60"/>
  <c r="AT502" i="60"/>
  <c r="AT510" i="60"/>
  <c r="AT518" i="60"/>
  <c r="AT526" i="60"/>
  <c r="AT534" i="60"/>
  <c r="AT542" i="60"/>
  <c r="AT550" i="60"/>
  <c r="AT558" i="60"/>
  <c r="AT566" i="60"/>
  <c r="AT574" i="60"/>
  <c r="AT582" i="60"/>
  <c r="AT590" i="60"/>
  <c r="AT598" i="60"/>
  <c r="AT606" i="60"/>
  <c r="AT614" i="60"/>
  <c r="AT622" i="60"/>
  <c r="AT630" i="60"/>
  <c r="AT638" i="60"/>
  <c r="AT646" i="60"/>
  <c r="AT654" i="60"/>
  <c r="AT661" i="60"/>
  <c r="AT669" i="60"/>
  <c r="AT762" i="60"/>
  <c r="AT754" i="60"/>
  <c r="AT746" i="60"/>
  <c r="AT738" i="60"/>
  <c r="AT730" i="60"/>
  <c r="AT722" i="60"/>
  <c r="AT715" i="60"/>
  <c r="AT707" i="60"/>
  <c r="AT699" i="60"/>
  <c r="AT691" i="60"/>
  <c r="AT683" i="60"/>
  <c r="AT676" i="60"/>
  <c r="AT662" i="60"/>
  <c r="AT631" i="60"/>
  <c r="AT599" i="60"/>
  <c r="AT567" i="60"/>
  <c r="AT535" i="60"/>
  <c r="AT503" i="60"/>
  <c r="AT472" i="60"/>
  <c r="AT443" i="60"/>
  <c r="AT412" i="60"/>
  <c r="AT382" i="60"/>
  <c r="AT354" i="60"/>
  <c r="AT322" i="60"/>
  <c r="AT292" i="60"/>
  <c r="AT260" i="60"/>
  <c r="AT228" i="60"/>
  <c r="AT197" i="60"/>
  <c r="AT165" i="60"/>
  <c r="AT103" i="60"/>
  <c r="AT71" i="60"/>
  <c r="AT39" i="60"/>
  <c r="AT761" i="60"/>
  <c r="AT753" i="60"/>
  <c r="AT745" i="60"/>
  <c r="AT737" i="60"/>
  <c r="AT729" i="60"/>
  <c r="AT721" i="60"/>
  <c r="AT714" i="60"/>
  <c r="AT706" i="60"/>
  <c r="AT698" i="60"/>
  <c r="AT690" i="60"/>
  <c r="AT682" i="60"/>
  <c r="AT675" i="60"/>
  <c r="AT624" i="60"/>
  <c r="AT592" i="60"/>
  <c r="AT560" i="60"/>
  <c r="AT528" i="60"/>
  <c r="AT496" i="60"/>
  <c r="AT465" i="60"/>
  <c r="AT436" i="60"/>
  <c r="AT406" i="60"/>
  <c r="AT347" i="60"/>
  <c r="AT316" i="60"/>
  <c r="AT285" i="60"/>
  <c r="AT253" i="60"/>
  <c r="AT222" i="60"/>
  <c r="AT190" i="60"/>
  <c r="AT158" i="60"/>
  <c r="AT127" i="60"/>
  <c r="AT96" i="60"/>
  <c r="AT64" i="60"/>
  <c r="AT32" i="60"/>
  <c r="AT760" i="60"/>
  <c r="AT752" i="60"/>
  <c r="AT744" i="60"/>
  <c r="AT736" i="60"/>
  <c r="AT728" i="60"/>
  <c r="AT720" i="60"/>
  <c r="AT713" i="60"/>
  <c r="AT705" i="60"/>
  <c r="AT697" i="60"/>
  <c r="AT689" i="60"/>
  <c r="AT681" i="60"/>
  <c r="AT674" i="60"/>
  <c r="AT655" i="60"/>
  <c r="AT623" i="60"/>
  <c r="AT591" i="60"/>
  <c r="AT559" i="60"/>
  <c r="AT527" i="60"/>
  <c r="AT495" i="60"/>
  <c r="AT464" i="60"/>
  <c r="AT435" i="60"/>
  <c r="AT376" i="60"/>
  <c r="AT346" i="60"/>
  <c r="AT315" i="60"/>
  <c r="AT284" i="60"/>
  <c r="AT252" i="60"/>
  <c r="AT221" i="60"/>
  <c r="AT189" i="60"/>
  <c r="AT157" i="60"/>
  <c r="AT126" i="60"/>
  <c r="AT95" i="60"/>
  <c r="AT63" i="60"/>
  <c r="AT31" i="60"/>
  <c r="AT759" i="60"/>
  <c r="AT751" i="60"/>
  <c r="AT743" i="60"/>
  <c r="AT735" i="60"/>
  <c r="AT727" i="60"/>
  <c r="AT712" i="60"/>
  <c r="AT704" i="60"/>
  <c r="AT696" i="60"/>
  <c r="AT688" i="60"/>
  <c r="AT680" i="60"/>
  <c r="AT673" i="60"/>
  <c r="AT648" i="60"/>
  <c r="AT616" i="60"/>
  <c r="AT584" i="60"/>
  <c r="AT552" i="60"/>
  <c r="AT520" i="60"/>
  <c r="AT488" i="60"/>
  <c r="AT428" i="60"/>
  <c r="AT369" i="60"/>
  <c r="AT339" i="60"/>
  <c r="AT309" i="60"/>
  <c r="AT277" i="60"/>
  <c r="AT245" i="60"/>
  <c r="AT214" i="60"/>
  <c r="AT182" i="60"/>
  <c r="AT150" i="60"/>
  <c r="AT119" i="60"/>
  <c r="AT88" i="60"/>
  <c r="AT56" i="60"/>
  <c r="AT8" i="60"/>
  <c r="AT758" i="60"/>
  <c r="AT750" i="60"/>
  <c r="AT742" i="60"/>
  <c r="AT734" i="60"/>
  <c r="AT726" i="60"/>
  <c r="AT719" i="60"/>
  <c r="AT711" i="60"/>
  <c r="AT703" i="60"/>
  <c r="AT695" i="60"/>
  <c r="AT687" i="60"/>
  <c r="AT672" i="60"/>
  <c r="AT647" i="60"/>
  <c r="AT615" i="60"/>
  <c r="AT583" i="60"/>
  <c r="AT551" i="60"/>
  <c r="AT519" i="60"/>
  <c r="AT487" i="60"/>
  <c r="AT458" i="60"/>
  <c r="AT397" i="60"/>
  <c r="AT338" i="60"/>
  <c r="AT308" i="60"/>
  <c r="AT276" i="60"/>
  <c r="AT244" i="60"/>
  <c r="AT213" i="60"/>
  <c r="AT181" i="60"/>
  <c r="AT149" i="60"/>
  <c r="AT118" i="60"/>
  <c r="AT87" i="60"/>
  <c r="AT55" i="60"/>
  <c r="AT765" i="60"/>
  <c r="AT757" i="60"/>
  <c r="AT749" i="60"/>
  <c r="AT741" i="60"/>
  <c r="AT733" i="60"/>
  <c r="AT725" i="60"/>
  <c r="AT718" i="60"/>
  <c r="AT710" i="60"/>
  <c r="AT702" i="60"/>
  <c r="AT694" i="60"/>
  <c r="AT686" i="60"/>
  <c r="AT679" i="60"/>
  <c r="AT671" i="60"/>
  <c r="AT640" i="60"/>
  <c r="AT608" i="60"/>
  <c r="AT576" i="60"/>
  <c r="AT544" i="60"/>
  <c r="AT512" i="60"/>
  <c r="AT480" i="60"/>
  <c r="AT452" i="60"/>
  <c r="AT421" i="60"/>
  <c r="AT331" i="60"/>
  <c r="AT301" i="60"/>
  <c r="AT269" i="60"/>
  <c r="AT237" i="60"/>
  <c r="AT206" i="60"/>
  <c r="AT174" i="60"/>
  <c r="AT142" i="60"/>
  <c r="AT80" i="60"/>
  <c r="AT48" i="60"/>
  <c r="AT16" i="60"/>
  <c r="AT764" i="60"/>
  <c r="AT756" i="60"/>
  <c r="AT748" i="60"/>
  <c r="AT740" i="60"/>
  <c r="AT732" i="60"/>
  <c r="AT724" i="60"/>
  <c r="AT717" i="60"/>
  <c r="AT709" i="60"/>
  <c r="AT701" i="60"/>
  <c r="AT693" i="60"/>
  <c r="AT685" i="60"/>
  <c r="AT678" i="60"/>
  <c r="AT670" i="60"/>
  <c r="AT639" i="60"/>
  <c r="AT607" i="60"/>
  <c r="AT575" i="60"/>
  <c r="AT543" i="60"/>
  <c r="AT511" i="60"/>
  <c r="AT479" i="60"/>
  <c r="AT451" i="60"/>
  <c r="AT420" i="60"/>
  <c r="AT330" i="60"/>
  <c r="AT300" i="60"/>
  <c r="AT268" i="60"/>
  <c r="AT236" i="60"/>
  <c r="AT205" i="60"/>
  <c r="AT173" i="60"/>
  <c r="AT141" i="60"/>
  <c r="AT111" i="60"/>
  <c r="AT79" i="60"/>
  <c r="AT47" i="60"/>
  <c r="AT15" i="60"/>
  <c r="R2" i="51"/>
  <c r="Q2" i="51"/>
  <c r="P2" i="51"/>
  <c r="O2" i="51"/>
  <c r="N2" i="51"/>
  <c r="M2" i="51"/>
  <c r="L2" i="51"/>
  <c r="I46" i="51"/>
  <c r="J46" i="51"/>
  <c r="N46" i="51"/>
  <c r="I47" i="51"/>
  <c r="J47" i="51"/>
  <c r="I48" i="51"/>
  <c r="J48" i="51"/>
  <c r="I49" i="51"/>
  <c r="J49" i="51"/>
  <c r="N49" i="51"/>
  <c r="I50" i="51"/>
  <c r="J50" i="51"/>
  <c r="N50" i="51"/>
  <c r="I51" i="51"/>
  <c r="J51" i="51"/>
  <c r="I52" i="51"/>
  <c r="J52" i="51"/>
  <c r="N52" i="51"/>
  <c r="I53" i="51"/>
  <c r="J53" i="51"/>
  <c r="I54" i="51"/>
  <c r="J54" i="51"/>
  <c r="I55" i="51"/>
  <c r="J55" i="51"/>
  <c r="I56" i="51"/>
  <c r="J56" i="51"/>
  <c r="I57" i="51"/>
  <c r="J57" i="51"/>
  <c r="I58" i="51"/>
  <c r="J58" i="51"/>
  <c r="N58" i="51"/>
  <c r="I59" i="51"/>
  <c r="J59" i="51"/>
  <c r="N59" i="51"/>
  <c r="I60" i="51"/>
  <c r="J60" i="51"/>
  <c r="N60" i="51"/>
  <c r="I61" i="51"/>
  <c r="J61" i="51"/>
  <c r="I62" i="51"/>
  <c r="J62" i="51"/>
  <c r="I63" i="51"/>
  <c r="J63" i="51"/>
  <c r="I64" i="51"/>
  <c r="J64" i="51"/>
  <c r="I65" i="51"/>
  <c r="J65" i="51"/>
  <c r="I66" i="51"/>
  <c r="J66" i="51"/>
  <c r="N66" i="51"/>
  <c r="I67" i="51"/>
  <c r="J67" i="51"/>
  <c r="N67" i="51"/>
  <c r="I68" i="51"/>
  <c r="J68" i="51"/>
  <c r="N68" i="51"/>
  <c r="I69" i="51"/>
  <c r="J69" i="51"/>
  <c r="N69" i="51"/>
  <c r="I70" i="51"/>
  <c r="J70" i="51"/>
  <c r="I71" i="51"/>
  <c r="J71" i="51"/>
  <c r="I72" i="51"/>
  <c r="J72" i="51"/>
  <c r="I73" i="51"/>
  <c r="J73" i="51"/>
  <c r="I74" i="51"/>
  <c r="J74" i="51"/>
  <c r="N74" i="51"/>
  <c r="I75" i="51"/>
  <c r="J75" i="51"/>
  <c r="N75" i="51"/>
  <c r="I76" i="51"/>
  <c r="J76" i="51"/>
  <c r="N76" i="51"/>
  <c r="I77" i="51"/>
  <c r="J77" i="51"/>
  <c r="I78" i="51"/>
  <c r="J78" i="51"/>
  <c r="I79" i="51"/>
  <c r="J79" i="51"/>
  <c r="I80" i="51"/>
  <c r="J80" i="51"/>
  <c r="I81" i="51"/>
  <c r="J81" i="51"/>
  <c r="I82" i="51"/>
  <c r="J82" i="51"/>
  <c r="N82" i="51"/>
  <c r="I83" i="51"/>
  <c r="J83" i="51"/>
  <c r="N83" i="51"/>
  <c r="I84" i="51"/>
  <c r="J84" i="51"/>
  <c r="N84" i="51"/>
  <c r="I85" i="51"/>
  <c r="J85" i="51"/>
  <c r="N85" i="51"/>
  <c r="I86" i="51"/>
  <c r="J86" i="51"/>
  <c r="I87" i="51"/>
  <c r="J87" i="51"/>
  <c r="I88" i="51"/>
  <c r="J88" i="51"/>
  <c r="I89" i="51"/>
  <c r="J89" i="51"/>
  <c r="I90" i="51"/>
  <c r="J90" i="51"/>
  <c r="N90" i="51"/>
  <c r="I91" i="51"/>
  <c r="J91" i="51"/>
  <c r="N91" i="51"/>
  <c r="I92" i="51"/>
  <c r="J92" i="51"/>
  <c r="N92" i="51"/>
  <c r="I93" i="51"/>
  <c r="J93" i="51"/>
  <c r="I94" i="51"/>
  <c r="J94" i="51"/>
  <c r="I95" i="51"/>
  <c r="J95" i="51"/>
  <c r="I96" i="51"/>
  <c r="J96" i="51"/>
  <c r="I97" i="51"/>
  <c r="J97" i="51"/>
  <c r="I98" i="51"/>
  <c r="J98" i="51"/>
  <c r="N98" i="51"/>
  <c r="I99" i="51"/>
  <c r="J99" i="51"/>
  <c r="N99" i="51"/>
  <c r="I100" i="51"/>
  <c r="J100" i="51"/>
  <c r="N100" i="51"/>
  <c r="I101" i="51"/>
  <c r="J101" i="51"/>
  <c r="I102" i="51"/>
  <c r="J102" i="51"/>
  <c r="I103" i="51"/>
  <c r="J103" i="51"/>
  <c r="I104" i="51"/>
  <c r="J104" i="51"/>
  <c r="I105" i="51"/>
  <c r="J105" i="51"/>
  <c r="I106" i="51"/>
  <c r="J106" i="51"/>
  <c r="N106" i="51"/>
  <c r="I107" i="51"/>
  <c r="J107" i="51"/>
  <c r="N107" i="51"/>
  <c r="I108" i="51"/>
  <c r="J108" i="51"/>
  <c r="N108" i="51"/>
  <c r="I109" i="51"/>
  <c r="J109" i="51"/>
  <c r="N109" i="51"/>
  <c r="I110" i="51"/>
  <c r="J110" i="51"/>
  <c r="I111" i="51"/>
  <c r="J111" i="51"/>
  <c r="I112" i="51"/>
  <c r="J112" i="51"/>
  <c r="I113" i="51"/>
  <c r="J113" i="51"/>
  <c r="I114" i="51"/>
  <c r="J114" i="51"/>
  <c r="N114" i="51"/>
  <c r="I115" i="51"/>
  <c r="J115" i="51"/>
  <c r="N115" i="51"/>
  <c r="I116" i="51"/>
  <c r="J116" i="51"/>
  <c r="N116" i="51"/>
  <c r="I117" i="51"/>
  <c r="J117" i="51"/>
  <c r="I118" i="51"/>
  <c r="J118" i="51"/>
  <c r="N118" i="51"/>
  <c r="I119" i="51"/>
  <c r="J119" i="51"/>
  <c r="I120" i="51"/>
  <c r="J120" i="51"/>
  <c r="I121" i="51"/>
  <c r="J121" i="51"/>
  <c r="N121" i="51"/>
  <c r="I122" i="51"/>
  <c r="J122" i="51"/>
  <c r="N122" i="51"/>
  <c r="I123" i="51"/>
  <c r="J123" i="51"/>
  <c r="N123" i="51"/>
  <c r="I124" i="51"/>
  <c r="J124" i="51"/>
  <c r="N124" i="51"/>
  <c r="I125" i="51"/>
  <c r="J125" i="51"/>
  <c r="I126" i="51"/>
  <c r="J126" i="51"/>
  <c r="N126" i="51"/>
  <c r="I127" i="51"/>
  <c r="J127" i="51"/>
  <c r="I128" i="51"/>
  <c r="J128" i="51"/>
  <c r="I129" i="51"/>
  <c r="J129" i="51"/>
  <c r="N129" i="51"/>
  <c r="I130" i="51"/>
  <c r="J130" i="51"/>
  <c r="N130" i="51"/>
  <c r="I131" i="51"/>
  <c r="J131" i="51"/>
  <c r="N131" i="51"/>
  <c r="I132" i="51"/>
  <c r="J132" i="51"/>
  <c r="N132" i="51"/>
  <c r="I133" i="51"/>
  <c r="J133" i="51"/>
  <c r="I134" i="51"/>
  <c r="J134" i="51"/>
  <c r="N134" i="51"/>
  <c r="I135" i="51"/>
  <c r="J135" i="51"/>
  <c r="N135" i="51"/>
  <c r="I136" i="51"/>
  <c r="J136" i="51"/>
  <c r="I137" i="51"/>
  <c r="J137" i="51"/>
  <c r="I138" i="51"/>
  <c r="J138" i="51"/>
  <c r="N138" i="51"/>
  <c r="I139" i="51"/>
  <c r="J139" i="51"/>
  <c r="N139" i="51"/>
  <c r="I140" i="51"/>
  <c r="J140" i="51"/>
  <c r="N140" i="51"/>
  <c r="I141" i="51"/>
  <c r="J141" i="51"/>
  <c r="I142" i="51"/>
  <c r="J142" i="51"/>
  <c r="N142" i="51"/>
  <c r="I143" i="51"/>
  <c r="J143" i="51"/>
  <c r="I144" i="51"/>
  <c r="J144" i="51"/>
  <c r="J45" i="51"/>
  <c r="N45" i="51"/>
  <c r="N39" i="51"/>
  <c r="I45" i="51"/>
  <c r="F50" i="51"/>
  <c r="F51" i="51"/>
  <c r="F52" i="51"/>
  <c r="F53" i="51"/>
  <c r="B50" i="51"/>
  <c r="B51" i="51"/>
  <c r="B52" i="51"/>
  <c r="B53" i="51"/>
  <c r="A46" i="51"/>
  <c r="A47" i="51"/>
  <c r="A48" i="51"/>
  <c r="A49" i="51"/>
  <c r="A50" i="51"/>
  <c r="A51" i="51"/>
  <c r="A52" i="51"/>
  <c r="A53" i="51"/>
  <c r="A54" i="51"/>
  <c r="A55" i="51"/>
  <c r="A56" i="51"/>
  <c r="A57" i="51"/>
  <c r="A58" i="51"/>
  <c r="A59" i="51"/>
  <c r="A60" i="51"/>
  <c r="A61" i="51"/>
  <c r="A62" i="51"/>
  <c r="A63" i="51"/>
  <c r="A64" i="51"/>
  <c r="A65" i="51"/>
  <c r="A66" i="51"/>
  <c r="A67" i="51"/>
  <c r="A68" i="51"/>
  <c r="A69" i="51"/>
  <c r="A70" i="51"/>
  <c r="A71" i="51"/>
  <c r="A72" i="51"/>
  <c r="A73" i="51"/>
  <c r="A74" i="51"/>
  <c r="A75" i="51"/>
  <c r="A76" i="51"/>
  <c r="A77" i="51"/>
  <c r="A78" i="51"/>
  <c r="A79" i="51"/>
  <c r="A80" i="51"/>
  <c r="A81" i="51"/>
  <c r="A82" i="51"/>
  <c r="A83" i="51"/>
  <c r="A84" i="51"/>
  <c r="A85" i="51"/>
  <c r="A86" i="51"/>
  <c r="A87" i="51"/>
  <c r="A88" i="51"/>
  <c r="A89" i="51"/>
  <c r="A90" i="51"/>
  <c r="A91" i="51"/>
  <c r="A92" i="51"/>
  <c r="A93" i="51"/>
  <c r="A94" i="51"/>
  <c r="A95" i="51"/>
  <c r="A96" i="51"/>
  <c r="A97" i="51"/>
  <c r="A98" i="51"/>
  <c r="A99" i="51"/>
  <c r="A100" i="51"/>
  <c r="A101" i="51"/>
  <c r="A102" i="51"/>
  <c r="A103" i="51"/>
  <c r="A104" i="51"/>
  <c r="A105" i="51"/>
  <c r="A106" i="51"/>
  <c r="A107" i="51"/>
  <c r="A108" i="51"/>
  <c r="A109" i="51"/>
  <c r="A110" i="51"/>
  <c r="A111" i="51"/>
  <c r="A112" i="51"/>
  <c r="A113" i="51"/>
  <c r="A114" i="51"/>
  <c r="A115" i="51"/>
  <c r="A116" i="51"/>
  <c r="A117" i="51"/>
  <c r="A118" i="51"/>
  <c r="A119" i="51"/>
  <c r="A120" i="51"/>
  <c r="A121" i="51"/>
  <c r="A122" i="51"/>
  <c r="A123" i="51"/>
  <c r="A124" i="51"/>
  <c r="A125" i="51"/>
  <c r="A126" i="51"/>
  <c r="A127" i="51"/>
  <c r="A128" i="51"/>
  <c r="A129" i="51"/>
  <c r="A130" i="51"/>
  <c r="A131" i="51"/>
  <c r="A132" i="51"/>
  <c r="A133" i="51"/>
  <c r="A134" i="51"/>
  <c r="A135" i="51"/>
  <c r="A136" i="51"/>
  <c r="A137" i="51"/>
  <c r="A138" i="51"/>
  <c r="A139" i="51"/>
  <c r="A140" i="51"/>
  <c r="A141" i="51"/>
  <c r="A142" i="51"/>
  <c r="A143" i="51"/>
  <c r="A144" i="51"/>
  <c r="A45" i="51"/>
  <c r="N125" i="51"/>
  <c r="N133" i="51"/>
  <c r="N51" i="51"/>
  <c r="N141" i="51"/>
  <c r="N77" i="51"/>
  <c r="N101" i="51"/>
  <c r="N61" i="51"/>
  <c r="N117" i="51"/>
  <c r="N93" i="51"/>
  <c r="N48" i="51"/>
  <c r="N102" i="51"/>
  <c r="N96" i="51"/>
  <c r="N86" i="51"/>
  <c r="N70" i="51"/>
  <c r="N64" i="51"/>
  <c r="N137" i="51"/>
  <c r="N143" i="51"/>
  <c r="N127" i="51"/>
  <c r="N119" i="51"/>
  <c r="N144" i="51"/>
  <c r="N120" i="51"/>
  <c r="N80" i="51"/>
  <c r="N73" i="51"/>
  <c r="N57" i="51"/>
  <c r="N55" i="51"/>
  <c r="N47" i="51"/>
  <c r="N136" i="51"/>
  <c r="N112" i="51"/>
  <c r="N53" i="51"/>
  <c r="N128" i="51"/>
  <c r="N105" i="51"/>
  <c r="N103" i="51"/>
  <c r="N89" i="51"/>
  <c r="N87" i="51"/>
  <c r="N71" i="51"/>
  <c r="N110" i="51"/>
  <c r="N94" i="51"/>
  <c r="N78" i="51"/>
  <c r="N72" i="51"/>
  <c r="N62" i="51"/>
  <c r="N56" i="51"/>
  <c r="N113" i="51"/>
  <c r="N111" i="51"/>
  <c r="N104" i="51"/>
  <c r="N97" i="51"/>
  <c r="N95" i="51"/>
  <c r="N88" i="51"/>
  <c r="N81" i="51"/>
  <c r="N79" i="51"/>
  <c r="N65" i="51"/>
  <c r="N63" i="51"/>
  <c r="N54" i="51"/>
  <c r="D6" i="3"/>
  <c r="O40" i="55"/>
  <c r="M40" i="55"/>
  <c r="K40" i="55"/>
  <c r="O38" i="55"/>
  <c r="M38" i="55"/>
  <c r="K38" i="55"/>
  <c r="O37" i="55"/>
  <c r="O36" i="55"/>
  <c r="O35" i="55"/>
  <c r="H35" i="55"/>
  <c r="O34" i="55"/>
  <c r="O33" i="55"/>
  <c r="H33" i="55"/>
  <c r="O32" i="55"/>
  <c r="H32" i="55"/>
  <c r="O31" i="55"/>
  <c r="O30" i="55"/>
  <c r="H30" i="55"/>
  <c r="O29" i="55"/>
  <c r="O28" i="55"/>
  <c r="H28" i="55"/>
  <c r="O27" i="55"/>
  <c r="O24" i="55"/>
  <c r="M24" i="55"/>
  <c r="K24" i="55"/>
  <c r="H24" i="55"/>
  <c r="O23" i="55"/>
  <c r="O22" i="55"/>
  <c r="O21" i="55"/>
  <c r="O20" i="55"/>
  <c r="O19" i="55"/>
  <c r="O18" i="55"/>
  <c r="O17" i="55"/>
  <c r="D12" i="55"/>
  <c r="O8" i="55"/>
  <c r="D8" i="55"/>
  <c r="AG765" i="60"/>
  <c r="AG764" i="60"/>
  <c r="AG763" i="60"/>
  <c r="AG762" i="60"/>
  <c r="AG761" i="60"/>
  <c r="AG760" i="60"/>
  <c r="AG759" i="60"/>
  <c r="AG758" i="60"/>
  <c r="AG757" i="60"/>
  <c r="AG756" i="60"/>
  <c r="AG755" i="60"/>
  <c r="AG754" i="60"/>
  <c r="AG753" i="60"/>
  <c r="AG752" i="60"/>
  <c r="AG751" i="60"/>
  <c r="AG750" i="60"/>
  <c r="AG749" i="60"/>
  <c r="AG748" i="60"/>
  <c r="AG747" i="60"/>
  <c r="AG746" i="60"/>
  <c r="AG745" i="60"/>
  <c r="AG744" i="60"/>
  <c r="AG743" i="60"/>
  <c r="AG742" i="60"/>
  <c r="AG741" i="60"/>
  <c r="AG740" i="60"/>
  <c r="AG739" i="60"/>
  <c r="AG738" i="60"/>
  <c r="AG737" i="60"/>
  <c r="AG736" i="60"/>
  <c r="AG735" i="60"/>
  <c r="AG734" i="60"/>
  <c r="AG733" i="60"/>
  <c r="AG732" i="60"/>
  <c r="AG731" i="60"/>
  <c r="AG730" i="60"/>
  <c r="AG729" i="60"/>
  <c r="AG728" i="60"/>
  <c r="AG727" i="60"/>
  <c r="AG726" i="60"/>
  <c r="AG725" i="60"/>
  <c r="AG724" i="60"/>
  <c r="AG723" i="60"/>
  <c r="AG722" i="60"/>
  <c r="AG721" i="60"/>
  <c r="AG720" i="60"/>
  <c r="AG719" i="60"/>
  <c r="AG718" i="60"/>
  <c r="AG717" i="60"/>
  <c r="AG716" i="60"/>
  <c r="AG715" i="60"/>
  <c r="AG714" i="60"/>
  <c r="AG713" i="60"/>
  <c r="AG712" i="60"/>
  <c r="AG711" i="60"/>
  <c r="AG710" i="60"/>
  <c r="AG709" i="60"/>
  <c r="AG708" i="60"/>
  <c r="AG707" i="60"/>
  <c r="AG706" i="60"/>
  <c r="AG705" i="60"/>
  <c r="AG704" i="60"/>
  <c r="AG703" i="60"/>
  <c r="AG702" i="60"/>
  <c r="AG701" i="60"/>
  <c r="AG700" i="60"/>
  <c r="AG699" i="60"/>
  <c r="AG698" i="60"/>
  <c r="AG697" i="60"/>
  <c r="AG696" i="60"/>
  <c r="AG695" i="60"/>
  <c r="AG694" i="60"/>
  <c r="AG693" i="60"/>
  <c r="AG692" i="60"/>
  <c r="AG691" i="60"/>
  <c r="AG690" i="60"/>
  <c r="AG689" i="60"/>
  <c r="AG688" i="60"/>
  <c r="AG687" i="60"/>
  <c r="AG686" i="60"/>
  <c r="AG685" i="60"/>
  <c r="AG684" i="60"/>
  <c r="AG683" i="60"/>
  <c r="AG682" i="60"/>
  <c r="AG681" i="60"/>
  <c r="AG680" i="60"/>
  <c r="AG679" i="60"/>
  <c r="AG678" i="60"/>
  <c r="AG677" i="60"/>
  <c r="AG676" i="60"/>
  <c r="AG675" i="60"/>
  <c r="AG674" i="60"/>
  <c r="AG673" i="60"/>
  <c r="AG672" i="60"/>
  <c r="AG671" i="60"/>
  <c r="AG670" i="60"/>
  <c r="AG669" i="60"/>
  <c r="AG668" i="60"/>
  <c r="AG667" i="60"/>
  <c r="AG666" i="60"/>
  <c r="AG665" i="60"/>
  <c r="AG664" i="60"/>
  <c r="AG663" i="60"/>
  <c r="AG662" i="60"/>
  <c r="AG661" i="60"/>
  <c r="AG660" i="60"/>
  <c r="AG659" i="60"/>
  <c r="AG658" i="60"/>
  <c r="AG657" i="60"/>
  <c r="AG656" i="60"/>
  <c r="AG655" i="60"/>
  <c r="AG654" i="60"/>
  <c r="AG653" i="60"/>
  <c r="AG652" i="60"/>
  <c r="AG651" i="60"/>
  <c r="AG650" i="60"/>
  <c r="AG649" i="60"/>
  <c r="AG648" i="60"/>
  <c r="AG647" i="60"/>
  <c r="AG646" i="60"/>
  <c r="AG645" i="60"/>
  <c r="AG644" i="60"/>
  <c r="AG643" i="60"/>
  <c r="AG642" i="60"/>
  <c r="AG641" i="60"/>
  <c r="AG640" i="60"/>
  <c r="AG639" i="60"/>
  <c r="AG638" i="60"/>
  <c r="AG637" i="60"/>
  <c r="AG636" i="60"/>
  <c r="AG635" i="60"/>
  <c r="AG634" i="60"/>
  <c r="AG633" i="60"/>
  <c r="AG632" i="60"/>
  <c r="AG631" i="60"/>
  <c r="AG630" i="60"/>
  <c r="AG629" i="60"/>
  <c r="AG628" i="60"/>
  <c r="AG627" i="60"/>
  <c r="AG626" i="60"/>
  <c r="AG625" i="60"/>
  <c r="AG624" i="60"/>
  <c r="AG623" i="60"/>
  <c r="AG622" i="60"/>
  <c r="AG621" i="60"/>
  <c r="AG620" i="60"/>
  <c r="AG619" i="60"/>
  <c r="AG618" i="60"/>
  <c r="AG617" i="60"/>
  <c r="AG616" i="60"/>
  <c r="AG615" i="60"/>
  <c r="AG614" i="60"/>
  <c r="AG613" i="60"/>
  <c r="AG612" i="60"/>
  <c r="AG611" i="60"/>
  <c r="AG610" i="60"/>
  <c r="AG609" i="60"/>
  <c r="AG608" i="60"/>
  <c r="AG607" i="60"/>
  <c r="AG606" i="60"/>
  <c r="AG605" i="60"/>
  <c r="AG604" i="60"/>
  <c r="AG603" i="60"/>
  <c r="AG602" i="60"/>
  <c r="AG601" i="60"/>
  <c r="AG600" i="60"/>
  <c r="AG599" i="60"/>
  <c r="AG598" i="60"/>
  <c r="AG597" i="60"/>
  <c r="AG596" i="60"/>
  <c r="AG595" i="60"/>
  <c r="AG594" i="60"/>
  <c r="AG593" i="60"/>
  <c r="AG592" i="60"/>
  <c r="AG591" i="60"/>
  <c r="AG590" i="60"/>
  <c r="AG589" i="60"/>
  <c r="AG588" i="60"/>
  <c r="AG587" i="60"/>
  <c r="AG586" i="60"/>
  <c r="AG585" i="60"/>
  <c r="AG584" i="60"/>
  <c r="AG583" i="60"/>
  <c r="AG582" i="60"/>
  <c r="AG581" i="60"/>
  <c r="AG580" i="60"/>
  <c r="AG579" i="60"/>
  <c r="AG578" i="60"/>
  <c r="AG577" i="60"/>
  <c r="AG576" i="60"/>
  <c r="AG575" i="60"/>
  <c r="AG574" i="60"/>
  <c r="AG573" i="60"/>
  <c r="AG572" i="60"/>
  <c r="AG571" i="60"/>
  <c r="AG570" i="60"/>
  <c r="AG569" i="60"/>
  <c r="AG568" i="60"/>
  <c r="AG567" i="60"/>
  <c r="AG566" i="60"/>
  <c r="AG565" i="60"/>
  <c r="AG564" i="60"/>
  <c r="AG563" i="60"/>
  <c r="AG562" i="60"/>
  <c r="AG561" i="60"/>
  <c r="AG560" i="60"/>
  <c r="AG559" i="60"/>
  <c r="AG558" i="60"/>
  <c r="AG557" i="60"/>
  <c r="AG556" i="60"/>
  <c r="AG555" i="60"/>
  <c r="AG554" i="60"/>
  <c r="AG553" i="60"/>
  <c r="AG552" i="60"/>
  <c r="AG551" i="60"/>
  <c r="AG550" i="60"/>
  <c r="AG549" i="60"/>
  <c r="AG548" i="60"/>
  <c r="AG547" i="60"/>
  <c r="AG546" i="60"/>
  <c r="AG545" i="60"/>
  <c r="AG544" i="60"/>
  <c r="AG543" i="60"/>
  <c r="AG542" i="60"/>
  <c r="AG541" i="60"/>
  <c r="AG540" i="60"/>
  <c r="AG539" i="60"/>
  <c r="AG538" i="60"/>
  <c r="AG537" i="60"/>
  <c r="AG536" i="60"/>
  <c r="AG535" i="60"/>
  <c r="AG534" i="60"/>
  <c r="AG533" i="60"/>
  <c r="AG532" i="60"/>
  <c r="AG531" i="60"/>
  <c r="AG530" i="60"/>
  <c r="AG529" i="60"/>
  <c r="AG528" i="60"/>
  <c r="AG527" i="60"/>
  <c r="AG526" i="60"/>
  <c r="AG525" i="60"/>
  <c r="AG524" i="60"/>
  <c r="AG523" i="60"/>
  <c r="AG522" i="60"/>
  <c r="AG521" i="60"/>
  <c r="AG520" i="60"/>
  <c r="AG519" i="60"/>
  <c r="AG518" i="60"/>
  <c r="AG517" i="60"/>
  <c r="AG516" i="60"/>
  <c r="AG515" i="60"/>
  <c r="AG514" i="60"/>
  <c r="AG513" i="60"/>
  <c r="AG512" i="60"/>
  <c r="AG511" i="60"/>
  <c r="AG510" i="60"/>
  <c r="AG509" i="60"/>
  <c r="AG508" i="60"/>
  <c r="AG507" i="60"/>
  <c r="AG506" i="60"/>
  <c r="AG505" i="60"/>
  <c r="AG504" i="60"/>
  <c r="AG503" i="60"/>
  <c r="AG502" i="60"/>
  <c r="AG501" i="60"/>
  <c r="AG500" i="60"/>
  <c r="AG499" i="60"/>
  <c r="AG498" i="60"/>
  <c r="AG497" i="60"/>
  <c r="AG496" i="60"/>
  <c r="AG495" i="60"/>
  <c r="AG494" i="60"/>
  <c r="AG493" i="60"/>
  <c r="AG492" i="60"/>
  <c r="AG491" i="60"/>
  <c r="AG490" i="60"/>
  <c r="AG489" i="60"/>
  <c r="AG488" i="60"/>
  <c r="AG487" i="60"/>
  <c r="AG486" i="60"/>
  <c r="AG485" i="60"/>
  <c r="AG484" i="60"/>
  <c r="AG483" i="60"/>
  <c r="AG482" i="60"/>
  <c r="AG481" i="60"/>
  <c r="AG480" i="60"/>
  <c r="AG479" i="60"/>
  <c r="AG478" i="60"/>
  <c r="AG477" i="60"/>
  <c r="AG476" i="60"/>
  <c r="AG475" i="60"/>
  <c r="AG474" i="60"/>
  <c r="AG473" i="60"/>
  <c r="AG472" i="60"/>
  <c r="AG471" i="60"/>
  <c r="AG470" i="60"/>
  <c r="AG469" i="60"/>
  <c r="AG468" i="60"/>
  <c r="AG467" i="60"/>
  <c r="AG466" i="60"/>
  <c r="AG465" i="60"/>
  <c r="AG464" i="60"/>
  <c r="AG463" i="60"/>
  <c r="AG462" i="60"/>
  <c r="AG461" i="60"/>
  <c r="AG460" i="60"/>
  <c r="AG459" i="60"/>
  <c r="AG458" i="60"/>
  <c r="AG457" i="60"/>
  <c r="AG456" i="60"/>
  <c r="AG455" i="60"/>
  <c r="AG454" i="60"/>
  <c r="AG453" i="60"/>
  <c r="AG452" i="60"/>
  <c r="AG451" i="60"/>
  <c r="AG450" i="60"/>
  <c r="AG449" i="60"/>
  <c r="AG448" i="60"/>
  <c r="AG447" i="60"/>
  <c r="AG446" i="60"/>
  <c r="AG445" i="60"/>
  <c r="AG444" i="60"/>
  <c r="AG443" i="60"/>
  <c r="AG442" i="60"/>
  <c r="AG441" i="60"/>
  <c r="AG440" i="60"/>
  <c r="AG439" i="60"/>
  <c r="AG438" i="60"/>
  <c r="AG437" i="60"/>
  <c r="AG436" i="60"/>
  <c r="AG435" i="60"/>
  <c r="AG434" i="60"/>
  <c r="AG433" i="60"/>
  <c r="AG432" i="60"/>
  <c r="AG431" i="60"/>
  <c r="AG430" i="60"/>
  <c r="AG429" i="60"/>
  <c r="AG428" i="60"/>
  <c r="AG427" i="60"/>
  <c r="AG426" i="60"/>
  <c r="AG425" i="60"/>
  <c r="AG424" i="60"/>
  <c r="AG423" i="60"/>
  <c r="AG422" i="60"/>
  <c r="AG421" i="60"/>
  <c r="AG420" i="60"/>
  <c r="AG419" i="60"/>
  <c r="AG418" i="60"/>
  <c r="AG417" i="60"/>
  <c r="AG416" i="60"/>
  <c r="AG415" i="60"/>
  <c r="AG414" i="60"/>
  <c r="AG413" i="60"/>
  <c r="AG412" i="60"/>
  <c r="AG411" i="60"/>
  <c r="AG410" i="60"/>
  <c r="AG409" i="60"/>
  <c r="AG408" i="60"/>
  <c r="AG407" i="60"/>
  <c r="AG406" i="60"/>
  <c r="AG405" i="60"/>
  <c r="AG404" i="60"/>
  <c r="AG403" i="60"/>
  <c r="AG402" i="60"/>
  <c r="AG401" i="60"/>
  <c r="AG400" i="60"/>
  <c r="AG399" i="60"/>
  <c r="AG398" i="60"/>
  <c r="AG397" i="60"/>
  <c r="AG396" i="60"/>
  <c r="AG395" i="60"/>
  <c r="AG394" i="60"/>
  <c r="AG393" i="60"/>
  <c r="AG392" i="60"/>
  <c r="AG391" i="60"/>
  <c r="AG390" i="60"/>
  <c r="AG389" i="60"/>
  <c r="AG388" i="60"/>
  <c r="AG387" i="60"/>
  <c r="AG386" i="60"/>
  <c r="AG385" i="60"/>
  <c r="AG384" i="60"/>
  <c r="AG383" i="60"/>
  <c r="AG382" i="60"/>
  <c r="AG381" i="60"/>
  <c r="AG380" i="60"/>
  <c r="AG379" i="60"/>
  <c r="AG378" i="60"/>
  <c r="AG377" i="60"/>
  <c r="AG376" i="60"/>
  <c r="AG375" i="60"/>
  <c r="AG374" i="60"/>
  <c r="AG373" i="60"/>
  <c r="AG372" i="60"/>
  <c r="AG371" i="60"/>
  <c r="AG370" i="60"/>
  <c r="AG369" i="60"/>
  <c r="AG368" i="60"/>
  <c r="AG367" i="60"/>
  <c r="AG366" i="60"/>
  <c r="AG365" i="60"/>
  <c r="AG364" i="60"/>
  <c r="AG363" i="60"/>
  <c r="AG362" i="60"/>
  <c r="AG361" i="60"/>
  <c r="AG360" i="60"/>
  <c r="AG359" i="60"/>
  <c r="AG358" i="60"/>
  <c r="AG357" i="60"/>
  <c r="AG356" i="60"/>
  <c r="AG355" i="60"/>
  <c r="AG354" i="60"/>
  <c r="AG353" i="60"/>
  <c r="AG352" i="60"/>
  <c r="AG351" i="60"/>
  <c r="AG350" i="60"/>
  <c r="AG349" i="60"/>
  <c r="AG348" i="60"/>
  <c r="AG347" i="60"/>
  <c r="AG346" i="60"/>
  <c r="AG345" i="60"/>
  <c r="AG344" i="60"/>
  <c r="AG343" i="60"/>
  <c r="AG342" i="60"/>
  <c r="AG341" i="60"/>
  <c r="AG340" i="60"/>
  <c r="AG339" i="60"/>
  <c r="AG338" i="60"/>
  <c r="AG337" i="60"/>
  <c r="AG336" i="60"/>
  <c r="AG335" i="60"/>
  <c r="AG334" i="60"/>
  <c r="AG333" i="60"/>
  <c r="AG332" i="60"/>
  <c r="AG331" i="60"/>
  <c r="AG330" i="60"/>
  <c r="AG329" i="60"/>
  <c r="AG328" i="60"/>
  <c r="AG327" i="60"/>
  <c r="AG326" i="60"/>
  <c r="AG325" i="60"/>
  <c r="AG324" i="60"/>
  <c r="AG323" i="60"/>
  <c r="AG322" i="60"/>
  <c r="AG321" i="60"/>
  <c r="AG320" i="60"/>
  <c r="AG319" i="60"/>
  <c r="AG318" i="60"/>
  <c r="AG317" i="60"/>
  <c r="AG316" i="60"/>
  <c r="AG315" i="60"/>
  <c r="AG314" i="60"/>
  <c r="AG313" i="60"/>
  <c r="AG312" i="60"/>
  <c r="AG311" i="60"/>
  <c r="AG310" i="60"/>
  <c r="AG309" i="60"/>
  <c r="AG308" i="60"/>
  <c r="AG307" i="60"/>
  <c r="AG306" i="60"/>
  <c r="AG305" i="60"/>
  <c r="AG304" i="60"/>
  <c r="AG303" i="60"/>
  <c r="AG302" i="60"/>
  <c r="AG301" i="60"/>
  <c r="AG300" i="60"/>
  <c r="AG299" i="60"/>
  <c r="AG298" i="60"/>
  <c r="AG297" i="60"/>
  <c r="AG296" i="60"/>
  <c r="AG295" i="60"/>
  <c r="AG294" i="60"/>
  <c r="AG293" i="60"/>
  <c r="AG292" i="60"/>
  <c r="AG291" i="60"/>
  <c r="AG290" i="60"/>
  <c r="AG289" i="60"/>
  <c r="AG288" i="60"/>
  <c r="AG287" i="60"/>
  <c r="AG286" i="60"/>
  <c r="AG285" i="60"/>
  <c r="AG284" i="60"/>
  <c r="AG283" i="60"/>
  <c r="AG282" i="60"/>
  <c r="AG281" i="60"/>
  <c r="AG280" i="60"/>
  <c r="AG279" i="60"/>
  <c r="AG278" i="60"/>
  <c r="AG277" i="60"/>
  <c r="AG276" i="60"/>
  <c r="AG275" i="60"/>
  <c r="AG274" i="60"/>
  <c r="AG273" i="60"/>
  <c r="AG272" i="60"/>
  <c r="AG271" i="60"/>
  <c r="AG270" i="60"/>
  <c r="AG269" i="60"/>
  <c r="AG268" i="60"/>
  <c r="AG267" i="60"/>
  <c r="AG266" i="60"/>
  <c r="AG265" i="60"/>
  <c r="AG264" i="60"/>
  <c r="AG263" i="60"/>
  <c r="AG262" i="60"/>
  <c r="AG261" i="60"/>
  <c r="AG260" i="60"/>
  <c r="AG259" i="60"/>
  <c r="AG258" i="60"/>
  <c r="AG257" i="60"/>
  <c r="AG256" i="60"/>
  <c r="AG255" i="60"/>
  <c r="AG254" i="60"/>
  <c r="AG253" i="60"/>
  <c r="AG252" i="60"/>
  <c r="AG251" i="60"/>
  <c r="AG250" i="60"/>
  <c r="AG249" i="60"/>
  <c r="AG248" i="60"/>
  <c r="AG247" i="60"/>
  <c r="AG246" i="60"/>
  <c r="AG245" i="60"/>
  <c r="AG244" i="60"/>
  <c r="AG243" i="60"/>
  <c r="AG242" i="60"/>
  <c r="AG241" i="60"/>
  <c r="AG240" i="60"/>
  <c r="AG239" i="60"/>
  <c r="AG238" i="60"/>
  <c r="AG237" i="60"/>
  <c r="AG236" i="60"/>
  <c r="AG235" i="60"/>
  <c r="AG234" i="60"/>
  <c r="AG233" i="60"/>
  <c r="AG232" i="60"/>
  <c r="AG231" i="60"/>
  <c r="AG230" i="60"/>
  <c r="AG229" i="60"/>
  <c r="AG228" i="60"/>
  <c r="AG227" i="60"/>
  <c r="AG226" i="60"/>
  <c r="AG225" i="60"/>
  <c r="AG224" i="60"/>
  <c r="AG223" i="60"/>
  <c r="AG222" i="60"/>
  <c r="AG221" i="60"/>
  <c r="AG220" i="60"/>
  <c r="AG219" i="60"/>
  <c r="AG218" i="60"/>
  <c r="AG217" i="60"/>
  <c r="AG216" i="60"/>
  <c r="AG215" i="60"/>
  <c r="AG214" i="60"/>
  <c r="AG213" i="60"/>
  <c r="AG212" i="60"/>
  <c r="AG211" i="60"/>
  <c r="AG210" i="60"/>
  <c r="AG209" i="60"/>
  <c r="AG208" i="60"/>
  <c r="AG207" i="60"/>
  <c r="AG206" i="60"/>
  <c r="AG205" i="60"/>
  <c r="AG204" i="60"/>
  <c r="AG203" i="60"/>
  <c r="AG202" i="60"/>
  <c r="AG201" i="60"/>
  <c r="AG200" i="60"/>
  <c r="AG199" i="60"/>
  <c r="AG198" i="60"/>
  <c r="AG197" i="60"/>
  <c r="AG196" i="60"/>
  <c r="AG195" i="60"/>
  <c r="AG194" i="60"/>
  <c r="AG193" i="60"/>
  <c r="AG192" i="60"/>
  <c r="AG191" i="60"/>
  <c r="AG190" i="60"/>
  <c r="AG189" i="60"/>
  <c r="AG188" i="60"/>
  <c r="AG187" i="60"/>
  <c r="AG186" i="60"/>
  <c r="AG185" i="60"/>
  <c r="AG184" i="60"/>
  <c r="AG183" i="60"/>
  <c r="AG182" i="60"/>
  <c r="AG181" i="60"/>
  <c r="AG180" i="60"/>
  <c r="AG179" i="60"/>
  <c r="AG178" i="60"/>
  <c r="AG177" i="60"/>
  <c r="AG176" i="60"/>
  <c r="AG175" i="60"/>
  <c r="AG174" i="60"/>
  <c r="AG173" i="60"/>
  <c r="AG172" i="60"/>
  <c r="AG171" i="60"/>
  <c r="AG170" i="60"/>
  <c r="AG169" i="60"/>
  <c r="AG168" i="60"/>
  <c r="AG167" i="60"/>
  <c r="AG166" i="60"/>
  <c r="AG165" i="60"/>
  <c r="AG164" i="60"/>
  <c r="AG163" i="60"/>
  <c r="AG162" i="60"/>
  <c r="AG161" i="60"/>
  <c r="AG160" i="60"/>
  <c r="AG159" i="60"/>
  <c r="AG158" i="60"/>
  <c r="AG157" i="60"/>
  <c r="AG156" i="60"/>
  <c r="AG155" i="60"/>
  <c r="AG154" i="60"/>
  <c r="AG153" i="60"/>
  <c r="AG152" i="60"/>
  <c r="AG151" i="60"/>
  <c r="AG150" i="60"/>
  <c r="AG149" i="60"/>
  <c r="AG148" i="60"/>
  <c r="AG147" i="60"/>
  <c r="AG146" i="60"/>
  <c r="AG145" i="60"/>
  <c r="AG144" i="60"/>
  <c r="AG143" i="60"/>
  <c r="AG142" i="60"/>
  <c r="AG141" i="60"/>
  <c r="AG140" i="60"/>
  <c r="AG139" i="60"/>
  <c r="AG138" i="60"/>
  <c r="AG137" i="60"/>
  <c r="AG136" i="60"/>
  <c r="AG135" i="60"/>
  <c r="AG134" i="60"/>
  <c r="AG133" i="60"/>
  <c r="AG132" i="60"/>
  <c r="AG131" i="60"/>
  <c r="AG130" i="60"/>
  <c r="AG129" i="60"/>
  <c r="AG128" i="60"/>
  <c r="AG127" i="60"/>
  <c r="AG126" i="60"/>
  <c r="AG125" i="60"/>
  <c r="AG124" i="60"/>
  <c r="AG123" i="60"/>
  <c r="AG122" i="60"/>
  <c r="AG121" i="60"/>
  <c r="AG120" i="60"/>
  <c r="AG119" i="60"/>
  <c r="AG118" i="60"/>
  <c r="AG117" i="60"/>
  <c r="AG116" i="60"/>
  <c r="AG115" i="60"/>
  <c r="AG114" i="60"/>
  <c r="AG113" i="60"/>
  <c r="AG112" i="60"/>
  <c r="AG111" i="60"/>
  <c r="AG110" i="60"/>
  <c r="AG109" i="60"/>
  <c r="AG108" i="60"/>
  <c r="AG107" i="60"/>
  <c r="AG106" i="60"/>
  <c r="AG105" i="60"/>
  <c r="AG104" i="60"/>
  <c r="AG103" i="60"/>
  <c r="AG102" i="60"/>
  <c r="AG101" i="60"/>
  <c r="AG100" i="60"/>
  <c r="AG99" i="60"/>
  <c r="AG98" i="60"/>
  <c r="AG97" i="60"/>
  <c r="AG96" i="60"/>
  <c r="AG95" i="60"/>
  <c r="AG94" i="60"/>
  <c r="AG93" i="60"/>
  <c r="AG92" i="60"/>
  <c r="AG91" i="60"/>
  <c r="AG90" i="60"/>
  <c r="AG89" i="60"/>
  <c r="AG88" i="60"/>
  <c r="AG87" i="60"/>
  <c r="AG86" i="60"/>
  <c r="AG85" i="60"/>
  <c r="AG84" i="60"/>
  <c r="AG83" i="60"/>
  <c r="AG82" i="60"/>
  <c r="AG81" i="60"/>
  <c r="AG80" i="60"/>
  <c r="AG79" i="60"/>
  <c r="AG78" i="60"/>
  <c r="AG77" i="60"/>
  <c r="AG76" i="60"/>
  <c r="AG75" i="60"/>
  <c r="AG74" i="60"/>
  <c r="AG73" i="60"/>
  <c r="AG72" i="60"/>
  <c r="AG71" i="60"/>
  <c r="AG70" i="60"/>
  <c r="AG69" i="60"/>
  <c r="AG68" i="60"/>
  <c r="AG67" i="60"/>
  <c r="AG66" i="60"/>
  <c r="AG65" i="60"/>
  <c r="AG64" i="60"/>
  <c r="AG63" i="60"/>
  <c r="AG62" i="60"/>
  <c r="AG61" i="60"/>
  <c r="AG60" i="60"/>
  <c r="AG59" i="60"/>
  <c r="AG58" i="60"/>
  <c r="AG57" i="60"/>
  <c r="AG56" i="60"/>
  <c r="AG55" i="60"/>
  <c r="AG54" i="60"/>
  <c r="AG53" i="60"/>
  <c r="AG52" i="60"/>
  <c r="AG51" i="60"/>
  <c r="AG50" i="60"/>
  <c r="AG49" i="60"/>
  <c r="AG48" i="60"/>
  <c r="AG47" i="60"/>
  <c r="AG46" i="60"/>
  <c r="AG45" i="60"/>
  <c r="AG44" i="60"/>
  <c r="AG43" i="60"/>
  <c r="AG42" i="60"/>
  <c r="AG41" i="60"/>
  <c r="AG40" i="60"/>
  <c r="AG39" i="60"/>
  <c r="AG38" i="60"/>
  <c r="AG37" i="60"/>
  <c r="AG36" i="60"/>
  <c r="AG35" i="60"/>
  <c r="AG34" i="60"/>
  <c r="AG33" i="60"/>
  <c r="AG32" i="60"/>
  <c r="AG31" i="60"/>
  <c r="AG30" i="60"/>
  <c r="AG29" i="60"/>
  <c r="AG28" i="60"/>
  <c r="AG27" i="60"/>
  <c r="AG26" i="60"/>
  <c r="AG25" i="60"/>
  <c r="AG24" i="60"/>
  <c r="AG22" i="60"/>
  <c r="AG21" i="60"/>
  <c r="AG20" i="60"/>
  <c r="AG19" i="60"/>
  <c r="AG18" i="60"/>
  <c r="AG17" i="60"/>
  <c r="AG16" i="60"/>
  <c r="AG15" i="60"/>
  <c r="AG14" i="60"/>
  <c r="AG13" i="60"/>
  <c r="AG12" i="60"/>
  <c r="AG11" i="60"/>
  <c r="AG10" i="60"/>
  <c r="AG9" i="60"/>
  <c r="W390" i="21"/>
  <c r="V390" i="21"/>
  <c r="T390" i="21"/>
  <c r="S390" i="21"/>
  <c r="R390" i="21"/>
  <c r="P390" i="21"/>
  <c r="O390" i="21"/>
  <c r="N390" i="21"/>
  <c r="I390" i="21"/>
  <c r="H390" i="21"/>
  <c r="G390" i="21"/>
  <c r="F390" i="21"/>
  <c r="C390" i="21"/>
  <c r="B390" i="21"/>
  <c r="W389" i="21"/>
  <c r="V389" i="21"/>
  <c r="T389" i="21"/>
  <c r="S389" i="21"/>
  <c r="R389" i="21"/>
  <c r="P389" i="21"/>
  <c r="O389" i="21"/>
  <c r="N389" i="21"/>
  <c r="M389" i="21"/>
  <c r="I389" i="21"/>
  <c r="H389" i="21"/>
  <c r="G389" i="21"/>
  <c r="F389" i="21"/>
  <c r="C389" i="21"/>
  <c r="B389" i="21"/>
  <c r="W388" i="21"/>
  <c r="V388" i="21"/>
  <c r="T388" i="21"/>
  <c r="S388" i="21"/>
  <c r="R388" i="21"/>
  <c r="P388" i="21"/>
  <c r="O388" i="21"/>
  <c r="N388" i="21"/>
  <c r="M388" i="21"/>
  <c r="I388" i="21"/>
  <c r="H388" i="21"/>
  <c r="G388" i="21"/>
  <c r="F388" i="21"/>
  <c r="C388" i="21"/>
  <c r="B388" i="21"/>
  <c r="W387" i="21"/>
  <c r="V387" i="21"/>
  <c r="T387" i="21"/>
  <c r="S387" i="21"/>
  <c r="R387" i="21"/>
  <c r="P387" i="21"/>
  <c r="O387" i="21"/>
  <c r="N387" i="21"/>
  <c r="M387" i="21"/>
  <c r="I387" i="21"/>
  <c r="H387" i="21"/>
  <c r="G387" i="21"/>
  <c r="F387" i="21"/>
  <c r="C387" i="21"/>
  <c r="B387" i="21"/>
  <c r="W386" i="21"/>
  <c r="V386" i="21"/>
  <c r="T386" i="21"/>
  <c r="S386" i="21"/>
  <c r="R386" i="21"/>
  <c r="P386" i="21"/>
  <c r="O386" i="21"/>
  <c r="N386" i="21"/>
  <c r="M386" i="21"/>
  <c r="I386" i="21"/>
  <c r="H386" i="21"/>
  <c r="G386" i="21"/>
  <c r="F386" i="21"/>
  <c r="C386" i="21"/>
  <c r="B386" i="21"/>
  <c r="W385" i="21"/>
  <c r="V385" i="21"/>
  <c r="T385" i="21"/>
  <c r="S385" i="21"/>
  <c r="R385" i="21"/>
  <c r="P385" i="21"/>
  <c r="O385" i="21"/>
  <c r="N385" i="21"/>
  <c r="M385" i="21"/>
  <c r="I385" i="21"/>
  <c r="H385" i="21"/>
  <c r="G385" i="21"/>
  <c r="F385" i="21"/>
  <c r="C385" i="21"/>
  <c r="B385" i="21"/>
  <c r="W384" i="21"/>
  <c r="V384" i="21"/>
  <c r="T384" i="21"/>
  <c r="S384" i="21"/>
  <c r="R384" i="21"/>
  <c r="P384" i="21"/>
  <c r="O384" i="21"/>
  <c r="N384" i="21"/>
  <c r="M384" i="21"/>
  <c r="I384" i="21"/>
  <c r="H384" i="21"/>
  <c r="G384" i="21"/>
  <c r="F384" i="21"/>
  <c r="C384" i="21"/>
  <c r="B384" i="21"/>
  <c r="W383" i="21"/>
  <c r="V383" i="21"/>
  <c r="T383" i="21"/>
  <c r="S383" i="21"/>
  <c r="R383" i="21"/>
  <c r="P383" i="21"/>
  <c r="O383" i="21"/>
  <c r="N383" i="21"/>
  <c r="M383" i="21"/>
  <c r="I383" i="21"/>
  <c r="H383" i="21"/>
  <c r="G383" i="21"/>
  <c r="F383" i="21"/>
  <c r="C383" i="21"/>
  <c r="B383" i="21"/>
  <c r="W382" i="21"/>
  <c r="V382" i="21"/>
  <c r="T382" i="21"/>
  <c r="S382" i="21"/>
  <c r="R382" i="21"/>
  <c r="P382" i="21"/>
  <c r="O382" i="21"/>
  <c r="N382" i="21"/>
  <c r="M382" i="21"/>
  <c r="I382" i="21"/>
  <c r="H382" i="21"/>
  <c r="G382" i="21"/>
  <c r="F382" i="21"/>
  <c r="C382" i="21"/>
  <c r="B382" i="21"/>
  <c r="W381" i="21"/>
  <c r="V381" i="21"/>
  <c r="T381" i="21"/>
  <c r="S381" i="21"/>
  <c r="R381" i="21"/>
  <c r="P381" i="21"/>
  <c r="O381" i="21"/>
  <c r="N381" i="21"/>
  <c r="M381" i="21"/>
  <c r="I381" i="21"/>
  <c r="H381" i="21"/>
  <c r="G381" i="21"/>
  <c r="F381" i="21"/>
  <c r="C381" i="21"/>
  <c r="B381" i="21"/>
  <c r="W380" i="21"/>
  <c r="V380" i="21"/>
  <c r="T380" i="21"/>
  <c r="S380" i="21"/>
  <c r="R380" i="21"/>
  <c r="P380" i="21"/>
  <c r="O380" i="21"/>
  <c r="N380" i="21"/>
  <c r="I380" i="21"/>
  <c r="H380" i="21"/>
  <c r="G380" i="21"/>
  <c r="F380" i="21"/>
  <c r="C380" i="21"/>
  <c r="B380" i="21"/>
  <c r="W379" i="21"/>
  <c r="V379" i="21"/>
  <c r="T379" i="21"/>
  <c r="S379" i="21"/>
  <c r="R379" i="21"/>
  <c r="P379" i="21"/>
  <c r="O379" i="21"/>
  <c r="N379" i="21"/>
  <c r="M379" i="21"/>
  <c r="I379" i="21"/>
  <c r="H379" i="21"/>
  <c r="G379" i="21"/>
  <c r="F379" i="21"/>
  <c r="C379" i="21"/>
  <c r="B379" i="21"/>
  <c r="W378" i="21"/>
  <c r="V378" i="21"/>
  <c r="T378" i="21"/>
  <c r="S378" i="21"/>
  <c r="R378" i="21"/>
  <c r="P378" i="21"/>
  <c r="O378" i="21"/>
  <c r="N378" i="21"/>
  <c r="M378" i="21"/>
  <c r="I378" i="21"/>
  <c r="H378" i="21"/>
  <c r="G378" i="21"/>
  <c r="F378" i="21"/>
  <c r="C378" i="21"/>
  <c r="B378" i="21"/>
  <c r="W377" i="21"/>
  <c r="V377" i="21"/>
  <c r="T377" i="21"/>
  <c r="S377" i="21"/>
  <c r="R377" i="21"/>
  <c r="P377" i="21"/>
  <c r="O377" i="21"/>
  <c r="N377" i="21"/>
  <c r="M377" i="21"/>
  <c r="I377" i="21"/>
  <c r="H377" i="21"/>
  <c r="G377" i="21"/>
  <c r="F377" i="21"/>
  <c r="C377" i="21"/>
  <c r="B377" i="21"/>
  <c r="W376" i="21"/>
  <c r="V376" i="21"/>
  <c r="T376" i="21"/>
  <c r="S376" i="21"/>
  <c r="R376" i="21"/>
  <c r="P376" i="21"/>
  <c r="O376" i="21"/>
  <c r="N376" i="21"/>
  <c r="M376" i="21"/>
  <c r="I376" i="21"/>
  <c r="H376" i="21"/>
  <c r="G376" i="21"/>
  <c r="F376" i="21"/>
  <c r="C376" i="21"/>
  <c r="B376" i="21"/>
  <c r="W375" i="21"/>
  <c r="V375" i="21"/>
  <c r="T375" i="21"/>
  <c r="S375" i="21"/>
  <c r="R375" i="21"/>
  <c r="P375" i="21"/>
  <c r="O375" i="21"/>
  <c r="N375" i="21"/>
  <c r="M375" i="21"/>
  <c r="I375" i="21"/>
  <c r="H375" i="21"/>
  <c r="G375" i="21"/>
  <c r="F375" i="21"/>
  <c r="C375" i="21"/>
  <c r="B375" i="21"/>
  <c r="W374" i="21"/>
  <c r="V374" i="21"/>
  <c r="T374" i="21"/>
  <c r="S374" i="21"/>
  <c r="R374" i="21"/>
  <c r="P374" i="21"/>
  <c r="O374" i="21"/>
  <c r="N374" i="21"/>
  <c r="M374" i="21"/>
  <c r="I374" i="21"/>
  <c r="H374" i="21"/>
  <c r="G374" i="21"/>
  <c r="F374" i="21"/>
  <c r="C374" i="21"/>
  <c r="B374" i="21"/>
  <c r="W373" i="21"/>
  <c r="V373" i="21"/>
  <c r="T373" i="21"/>
  <c r="S373" i="21"/>
  <c r="R373" i="21"/>
  <c r="P373" i="21"/>
  <c r="O373" i="21"/>
  <c r="N373" i="21"/>
  <c r="M373" i="21"/>
  <c r="I373" i="21"/>
  <c r="H373" i="21"/>
  <c r="G373" i="21"/>
  <c r="F373" i="21"/>
  <c r="C373" i="21"/>
  <c r="B373" i="21"/>
  <c r="W372" i="21"/>
  <c r="V372" i="21"/>
  <c r="T372" i="21"/>
  <c r="S372" i="21"/>
  <c r="R372" i="21"/>
  <c r="P372" i="21"/>
  <c r="O372" i="21"/>
  <c r="N372" i="21"/>
  <c r="M372" i="21"/>
  <c r="I372" i="21"/>
  <c r="H372" i="21"/>
  <c r="G372" i="21"/>
  <c r="F372" i="21"/>
  <c r="C372" i="21"/>
  <c r="B372" i="21"/>
  <c r="W371" i="21"/>
  <c r="V371" i="21"/>
  <c r="T371" i="21"/>
  <c r="S371" i="21"/>
  <c r="R371" i="21"/>
  <c r="P371" i="21"/>
  <c r="O371" i="21"/>
  <c r="N371" i="21"/>
  <c r="M371" i="21"/>
  <c r="I371" i="21"/>
  <c r="H371" i="21"/>
  <c r="G371" i="21"/>
  <c r="F371" i="21"/>
  <c r="C371" i="21"/>
  <c r="B371" i="21"/>
  <c r="W370" i="21"/>
  <c r="V370" i="21"/>
  <c r="T370" i="21"/>
  <c r="S370" i="21"/>
  <c r="R370" i="21"/>
  <c r="P370" i="21"/>
  <c r="O370" i="21"/>
  <c r="N370" i="21"/>
  <c r="I370" i="21"/>
  <c r="H370" i="21"/>
  <c r="G370" i="21"/>
  <c r="F370" i="21"/>
  <c r="C370" i="21"/>
  <c r="B370" i="21"/>
  <c r="W369" i="21"/>
  <c r="V369" i="21"/>
  <c r="T369" i="21"/>
  <c r="S369" i="21"/>
  <c r="R369" i="21"/>
  <c r="P369" i="21"/>
  <c r="O369" i="21"/>
  <c r="N369" i="21"/>
  <c r="M369" i="21"/>
  <c r="I369" i="21"/>
  <c r="H369" i="21"/>
  <c r="G369" i="21"/>
  <c r="F369" i="21"/>
  <c r="C369" i="21"/>
  <c r="B369" i="21"/>
  <c r="W368" i="21"/>
  <c r="V368" i="21"/>
  <c r="T368" i="21"/>
  <c r="S368" i="21"/>
  <c r="R368" i="21"/>
  <c r="P368" i="21"/>
  <c r="O368" i="21"/>
  <c r="N368" i="21"/>
  <c r="M368" i="21"/>
  <c r="I368" i="21"/>
  <c r="H368" i="21"/>
  <c r="G368" i="21"/>
  <c r="F368" i="21"/>
  <c r="C368" i="21"/>
  <c r="B368" i="21"/>
  <c r="W367" i="21"/>
  <c r="V367" i="21"/>
  <c r="T367" i="21"/>
  <c r="S367" i="21"/>
  <c r="R367" i="21"/>
  <c r="P367" i="21"/>
  <c r="O367" i="21"/>
  <c r="N367" i="21"/>
  <c r="M367" i="21"/>
  <c r="I367" i="21"/>
  <c r="H367" i="21"/>
  <c r="G367" i="21"/>
  <c r="F367" i="21"/>
  <c r="C367" i="21"/>
  <c r="B367" i="21"/>
  <c r="W366" i="21"/>
  <c r="V366" i="21"/>
  <c r="T366" i="21"/>
  <c r="S366" i="21"/>
  <c r="R366" i="21"/>
  <c r="P366" i="21"/>
  <c r="O366" i="21"/>
  <c r="N366" i="21"/>
  <c r="M366" i="21"/>
  <c r="I366" i="21"/>
  <c r="H366" i="21"/>
  <c r="G366" i="21"/>
  <c r="F366" i="21"/>
  <c r="C366" i="21"/>
  <c r="B366" i="21"/>
  <c r="W365" i="21"/>
  <c r="V365" i="21"/>
  <c r="T365" i="21"/>
  <c r="S365" i="21"/>
  <c r="R365" i="21"/>
  <c r="P365" i="21"/>
  <c r="O365" i="21"/>
  <c r="N365" i="21"/>
  <c r="M365" i="21"/>
  <c r="I365" i="21"/>
  <c r="H365" i="21"/>
  <c r="G365" i="21"/>
  <c r="F365" i="21"/>
  <c r="C365" i="21"/>
  <c r="B365" i="21"/>
  <c r="W364" i="21"/>
  <c r="V364" i="21"/>
  <c r="T364" i="21"/>
  <c r="S364" i="21"/>
  <c r="R364" i="21"/>
  <c r="P364" i="21"/>
  <c r="O364" i="21"/>
  <c r="N364" i="21"/>
  <c r="M364" i="21"/>
  <c r="I364" i="21"/>
  <c r="H364" i="21"/>
  <c r="G364" i="21"/>
  <c r="F364" i="21"/>
  <c r="C364" i="21"/>
  <c r="B364" i="21"/>
  <c r="W363" i="21"/>
  <c r="V363" i="21"/>
  <c r="T363" i="21"/>
  <c r="S363" i="21"/>
  <c r="R363" i="21"/>
  <c r="P363" i="21"/>
  <c r="O363" i="21"/>
  <c r="N363" i="21"/>
  <c r="M363" i="21"/>
  <c r="I363" i="21"/>
  <c r="H363" i="21"/>
  <c r="G363" i="21"/>
  <c r="F363" i="21"/>
  <c r="C363" i="21"/>
  <c r="B363" i="21"/>
  <c r="W362" i="21"/>
  <c r="V362" i="21"/>
  <c r="T362" i="21"/>
  <c r="S362" i="21"/>
  <c r="R362" i="21"/>
  <c r="P362" i="21"/>
  <c r="O362" i="21"/>
  <c r="N362" i="21"/>
  <c r="M362" i="21"/>
  <c r="I362" i="21"/>
  <c r="H362" i="21"/>
  <c r="G362" i="21"/>
  <c r="F362" i="21"/>
  <c r="C362" i="21"/>
  <c r="B362" i="21"/>
  <c r="W361" i="21"/>
  <c r="V361" i="21"/>
  <c r="T361" i="21"/>
  <c r="S361" i="21"/>
  <c r="R361" i="21"/>
  <c r="P361" i="21"/>
  <c r="O361" i="21"/>
  <c r="N361" i="21"/>
  <c r="M361" i="21"/>
  <c r="I361" i="21"/>
  <c r="H361" i="21"/>
  <c r="G361" i="21"/>
  <c r="F361" i="21"/>
  <c r="C361" i="21"/>
  <c r="B361" i="21"/>
  <c r="W360" i="21"/>
  <c r="V360" i="21"/>
  <c r="T360" i="21"/>
  <c r="S360" i="21"/>
  <c r="R360" i="21"/>
  <c r="P360" i="21"/>
  <c r="O360" i="21"/>
  <c r="N360" i="21"/>
  <c r="I360" i="21"/>
  <c r="H360" i="21"/>
  <c r="G360" i="21"/>
  <c r="F360" i="21"/>
  <c r="C360" i="21"/>
  <c r="B360" i="21"/>
  <c r="W359" i="21"/>
  <c r="V359" i="21"/>
  <c r="T359" i="21"/>
  <c r="S359" i="21"/>
  <c r="R359" i="21"/>
  <c r="P359" i="21"/>
  <c r="O359" i="21"/>
  <c r="N359" i="21"/>
  <c r="M359" i="21"/>
  <c r="I359" i="21"/>
  <c r="H359" i="21"/>
  <c r="G359" i="21"/>
  <c r="F359" i="21"/>
  <c r="C359" i="21"/>
  <c r="B359" i="21"/>
  <c r="W358" i="21"/>
  <c r="V358" i="21"/>
  <c r="T358" i="21"/>
  <c r="S358" i="21"/>
  <c r="R358" i="21"/>
  <c r="P358" i="21"/>
  <c r="O358" i="21"/>
  <c r="N358" i="21"/>
  <c r="M358" i="21"/>
  <c r="I358" i="21"/>
  <c r="H358" i="21"/>
  <c r="G358" i="21"/>
  <c r="F358" i="21"/>
  <c r="C358" i="21"/>
  <c r="B358" i="21"/>
  <c r="W357" i="21"/>
  <c r="V357" i="21"/>
  <c r="T357" i="21"/>
  <c r="S357" i="21"/>
  <c r="R357" i="21"/>
  <c r="P357" i="21"/>
  <c r="O357" i="21"/>
  <c r="N357" i="21"/>
  <c r="M357" i="21"/>
  <c r="I357" i="21"/>
  <c r="H357" i="21"/>
  <c r="G357" i="21"/>
  <c r="F357" i="21"/>
  <c r="C357" i="21"/>
  <c r="B357" i="21"/>
  <c r="W356" i="21"/>
  <c r="V356" i="21"/>
  <c r="T356" i="21"/>
  <c r="S356" i="21"/>
  <c r="R356" i="21"/>
  <c r="P356" i="21"/>
  <c r="O356" i="21"/>
  <c r="N356" i="21"/>
  <c r="M356" i="21"/>
  <c r="I356" i="21"/>
  <c r="H356" i="21"/>
  <c r="G356" i="21"/>
  <c r="F356" i="21"/>
  <c r="C356" i="21"/>
  <c r="B356" i="21"/>
  <c r="W355" i="21"/>
  <c r="V355" i="21"/>
  <c r="T355" i="21"/>
  <c r="S355" i="21"/>
  <c r="R355" i="21"/>
  <c r="P355" i="21"/>
  <c r="O355" i="21"/>
  <c r="N355" i="21"/>
  <c r="M355" i="21"/>
  <c r="I355" i="21"/>
  <c r="H355" i="21"/>
  <c r="G355" i="21"/>
  <c r="F355" i="21"/>
  <c r="C355" i="21"/>
  <c r="B355" i="21"/>
  <c r="W354" i="21"/>
  <c r="V354" i="21"/>
  <c r="T354" i="21"/>
  <c r="S354" i="21"/>
  <c r="R354" i="21"/>
  <c r="P354" i="21"/>
  <c r="O354" i="21"/>
  <c r="N354" i="21"/>
  <c r="M354" i="21"/>
  <c r="I354" i="21"/>
  <c r="H354" i="21"/>
  <c r="G354" i="21"/>
  <c r="F354" i="21"/>
  <c r="C354" i="21"/>
  <c r="B354" i="21"/>
  <c r="W353" i="21"/>
  <c r="V353" i="21"/>
  <c r="T353" i="21"/>
  <c r="S353" i="21"/>
  <c r="R353" i="21"/>
  <c r="P353" i="21"/>
  <c r="O353" i="21"/>
  <c r="N353" i="21"/>
  <c r="M353" i="21"/>
  <c r="I353" i="21"/>
  <c r="H353" i="21"/>
  <c r="G353" i="21"/>
  <c r="F353" i="21"/>
  <c r="C353" i="21"/>
  <c r="B353" i="21"/>
  <c r="W352" i="21"/>
  <c r="V352" i="21"/>
  <c r="T352" i="21"/>
  <c r="S352" i="21"/>
  <c r="R352" i="21"/>
  <c r="P352" i="21"/>
  <c r="O352" i="21"/>
  <c r="N352" i="21"/>
  <c r="M352" i="21"/>
  <c r="I352" i="21"/>
  <c r="H352" i="21"/>
  <c r="G352" i="21"/>
  <c r="F352" i="21"/>
  <c r="C352" i="21"/>
  <c r="B352" i="21"/>
  <c r="W351" i="21"/>
  <c r="V351" i="21"/>
  <c r="T351" i="21"/>
  <c r="S351" i="21"/>
  <c r="R351" i="21"/>
  <c r="P351" i="21"/>
  <c r="O351" i="21"/>
  <c r="N351" i="21"/>
  <c r="M351" i="21"/>
  <c r="I351" i="21"/>
  <c r="H351" i="21"/>
  <c r="G351" i="21"/>
  <c r="F351" i="21"/>
  <c r="C351" i="21"/>
  <c r="B351" i="21"/>
  <c r="W350" i="21"/>
  <c r="V350" i="21"/>
  <c r="T350" i="21"/>
  <c r="S350" i="21"/>
  <c r="R350" i="21"/>
  <c r="P350" i="21"/>
  <c r="O350" i="21"/>
  <c r="N350" i="21"/>
  <c r="I350" i="21"/>
  <c r="H350" i="21"/>
  <c r="G350" i="21"/>
  <c r="F350" i="21"/>
  <c r="C350" i="21"/>
  <c r="B350" i="21"/>
  <c r="W349" i="21"/>
  <c r="V349" i="21"/>
  <c r="T349" i="21"/>
  <c r="S349" i="21"/>
  <c r="R349" i="21"/>
  <c r="P349" i="21"/>
  <c r="O349" i="21"/>
  <c r="N349" i="21"/>
  <c r="M349" i="21"/>
  <c r="I349" i="21"/>
  <c r="H349" i="21"/>
  <c r="G349" i="21"/>
  <c r="F349" i="21"/>
  <c r="C349" i="21"/>
  <c r="B349" i="21"/>
  <c r="W348" i="21"/>
  <c r="V348" i="21"/>
  <c r="T348" i="21"/>
  <c r="S348" i="21"/>
  <c r="R348" i="21"/>
  <c r="P348" i="21"/>
  <c r="O348" i="21"/>
  <c r="N348" i="21"/>
  <c r="M348" i="21"/>
  <c r="I348" i="21"/>
  <c r="H348" i="21"/>
  <c r="G348" i="21"/>
  <c r="F348" i="21"/>
  <c r="C348" i="21"/>
  <c r="B348" i="21"/>
  <c r="W347" i="21"/>
  <c r="V347" i="21"/>
  <c r="T347" i="21"/>
  <c r="S347" i="21"/>
  <c r="R347" i="21"/>
  <c r="P347" i="21"/>
  <c r="O347" i="21"/>
  <c r="N347" i="21"/>
  <c r="M347" i="21"/>
  <c r="I347" i="21"/>
  <c r="H347" i="21"/>
  <c r="G347" i="21"/>
  <c r="F347" i="21"/>
  <c r="C347" i="21"/>
  <c r="B347" i="21"/>
  <c r="W346" i="21"/>
  <c r="V346" i="21"/>
  <c r="T346" i="21"/>
  <c r="S346" i="21"/>
  <c r="R346" i="21"/>
  <c r="P346" i="21"/>
  <c r="O346" i="21"/>
  <c r="N346" i="21"/>
  <c r="M346" i="21"/>
  <c r="I346" i="21"/>
  <c r="H346" i="21"/>
  <c r="G346" i="21"/>
  <c r="F346" i="21"/>
  <c r="C346" i="21"/>
  <c r="B346" i="21"/>
  <c r="W345" i="21"/>
  <c r="V345" i="21"/>
  <c r="T345" i="21"/>
  <c r="S345" i="21"/>
  <c r="R345" i="21"/>
  <c r="P345" i="21"/>
  <c r="O345" i="21"/>
  <c r="N345" i="21"/>
  <c r="M345" i="21"/>
  <c r="I345" i="21"/>
  <c r="H345" i="21"/>
  <c r="G345" i="21"/>
  <c r="F345" i="21"/>
  <c r="C345" i="21"/>
  <c r="B345" i="21"/>
  <c r="W344" i="21"/>
  <c r="V344" i="21"/>
  <c r="T344" i="21"/>
  <c r="S344" i="21"/>
  <c r="R344" i="21"/>
  <c r="P344" i="21"/>
  <c r="O344" i="21"/>
  <c r="N344" i="21"/>
  <c r="M344" i="21"/>
  <c r="I344" i="21"/>
  <c r="H344" i="21"/>
  <c r="G344" i="21"/>
  <c r="F344" i="21"/>
  <c r="C344" i="21"/>
  <c r="B344" i="21"/>
  <c r="W343" i="21"/>
  <c r="V343" i="21"/>
  <c r="T343" i="21"/>
  <c r="S343" i="21"/>
  <c r="R343" i="21"/>
  <c r="P343" i="21"/>
  <c r="O343" i="21"/>
  <c r="N343" i="21"/>
  <c r="M343" i="21"/>
  <c r="I343" i="21"/>
  <c r="H343" i="21"/>
  <c r="G343" i="21"/>
  <c r="F343" i="21"/>
  <c r="C343" i="21"/>
  <c r="B343" i="21"/>
  <c r="W342" i="21"/>
  <c r="V342" i="21"/>
  <c r="T342" i="21"/>
  <c r="S342" i="21"/>
  <c r="R342" i="21"/>
  <c r="P342" i="21"/>
  <c r="O342" i="21"/>
  <c r="N342" i="21"/>
  <c r="M342" i="21"/>
  <c r="I342" i="21"/>
  <c r="H342" i="21"/>
  <c r="G342" i="21"/>
  <c r="F342" i="21"/>
  <c r="C342" i="21"/>
  <c r="B342" i="21"/>
  <c r="W341" i="21"/>
  <c r="V341" i="21"/>
  <c r="T341" i="21"/>
  <c r="S341" i="21"/>
  <c r="R341" i="21"/>
  <c r="P341" i="21"/>
  <c r="O341" i="21"/>
  <c r="N341" i="21"/>
  <c r="M341" i="21"/>
  <c r="I341" i="21"/>
  <c r="H341" i="21"/>
  <c r="G341" i="21"/>
  <c r="F341" i="21"/>
  <c r="C341" i="21"/>
  <c r="B341" i="21"/>
  <c r="W340" i="21"/>
  <c r="V340" i="21"/>
  <c r="T340" i="21"/>
  <c r="S340" i="21"/>
  <c r="R340" i="21"/>
  <c r="P340" i="21"/>
  <c r="O340" i="21"/>
  <c r="N340" i="21"/>
  <c r="I340" i="21"/>
  <c r="H340" i="21"/>
  <c r="G340" i="21"/>
  <c r="F340" i="21"/>
  <c r="C340" i="21"/>
  <c r="B340" i="21"/>
  <c r="W339" i="21"/>
  <c r="V339" i="21"/>
  <c r="T339" i="21"/>
  <c r="S339" i="21"/>
  <c r="R339" i="21"/>
  <c r="P339" i="21"/>
  <c r="O339" i="21"/>
  <c r="N339" i="21"/>
  <c r="M339" i="21"/>
  <c r="I339" i="21"/>
  <c r="H339" i="21"/>
  <c r="G339" i="21"/>
  <c r="F339" i="21"/>
  <c r="C339" i="21"/>
  <c r="B339" i="21"/>
  <c r="W338" i="21"/>
  <c r="V338" i="21"/>
  <c r="T338" i="21"/>
  <c r="S338" i="21"/>
  <c r="R338" i="21"/>
  <c r="P338" i="21"/>
  <c r="O338" i="21"/>
  <c r="N338" i="21"/>
  <c r="M338" i="21"/>
  <c r="I338" i="21"/>
  <c r="H338" i="21"/>
  <c r="G338" i="21"/>
  <c r="F338" i="21"/>
  <c r="C338" i="21"/>
  <c r="B338" i="21"/>
  <c r="W337" i="21"/>
  <c r="V337" i="21"/>
  <c r="T337" i="21"/>
  <c r="S337" i="21"/>
  <c r="R337" i="21"/>
  <c r="P337" i="21"/>
  <c r="O337" i="21"/>
  <c r="N337" i="21"/>
  <c r="M337" i="21"/>
  <c r="I337" i="21"/>
  <c r="H337" i="21"/>
  <c r="G337" i="21"/>
  <c r="F337" i="21"/>
  <c r="C337" i="21"/>
  <c r="B337" i="21"/>
  <c r="W336" i="21"/>
  <c r="V336" i="21"/>
  <c r="T336" i="21"/>
  <c r="S336" i="21"/>
  <c r="R336" i="21"/>
  <c r="P336" i="21"/>
  <c r="O336" i="21"/>
  <c r="N336" i="21"/>
  <c r="M336" i="21"/>
  <c r="I336" i="21"/>
  <c r="H336" i="21"/>
  <c r="G336" i="21"/>
  <c r="F336" i="21"/>
  <c r="C336" i="21"/>
  <c r="B336" i="21"/>
  <c r="W335" i="21"/>
  <c r="V335" i="21"/>
  <c r="T335" i="21"/>
  <c r="S335" i="21"/>
  <c r="R335" i="21"/>
  <c r="P335" i="21"/>
  <c r="O335" i="21"/>
  <c r="N335" i="21"/>
  <c r="M335" i="21"/>
  <c r="I335" i="21"/>
  <c r="H335" i="21"/>
  <c r="G335" i="21"/>
  <c r="F335" i="21"/>
  <c r="C335" i="21"/>
  <c r="B335" i="21"/>
  <c r="W334" i="21"/>
  <c r="V334" i="21"/>
  <c r="T334" i="21"/>
  <c r="S334" i="21"/>
  <c r="R334" i="21"/>
  <c r="P334" i="21"/>
  <c r="O334" i="21"/>
  <c r="N334" i="21"/>
  <c r="M334" i="21"/>
  <c r="I334" i="21"/>
  <c r="H334" i="21"/>
  <c r="G334" i="21"/>
  <c r="F334" i="21"/>
  <c r="C334" i="21"/>
  <c r="B334" i="21"/>
  <c r="W333" i="21"/>
  <c r="V333" i="21"/>
  <c r="T333" i="21"/>
  <c r="S333" i="21"/>
  <c r="R333" i="21"/>
  <c r="P333" i="21"/>
  <c r="O333" i="21"/>
  <c r="N333" i="21"/>
  <c r="M333" i="21"/>
  <c r="I333" i="21"/>
  <c r="H333" i="21"/>
  <c r="G333" i="21"/>
  <c r="F333" i="21"/>
  <c r="C333" i="21"/>
  <c r="B333" i="21"/>
  <c r="W332" i="21"/>
  <c r="V332" i="21"/>
  <c r="T332" i="21"/>
  <c r="S332" i="21"/>
  <c r="R332" i="21"/>
  <c r="P332" i="21"/>
  <c r="O332" i="21"/>
  <c r="N332" i="21"/>
  <c r="M332" i="21"/>
  <c r="I332" i="21"/>
  <c r="H332" i="21"/>
  <c r="G332" i="21"/>
  <c r="F332" i="21"/>
  <c r="C332" i="21"/>
  <c r="B332" i="21"/>
  <c r="W331" i="21"/>
  <c r="V331" i="21"/>
  <c r="T331" i="21"/>
  <c r="S331" i="21"/>
  <c r="R331" i="21"/>
  <c r="P331" i="21"/>
  <c r="O331" i="21"/>
  <c r="N331" i="21"/>
  <c r="M331" i="21"/>
  <c r="I331" i="21"/>
  <c r="H331" i="21"/>
  <c r="G331" i="21"/>
  <c r="F331" i="21"/>
  <c r="C331" i="21"/>
  <c r="B331" i="21"/>
  <c r="W330" i="21"/>
  <c r="V330" i="21"/>
  <c r="T330" i="21"/>
  <c r="S330" i="21"/>
  <c r="R330" i="21"/>
  <c r="P330" i="21"/>
  <c r="O330" i="21"/>
  <c r="N330" i="21"/>
  <c r="I330" i="21"/>
  <c r="H330" i="21"/>
  <c r="G330" i="21"/>
  <c r="F330" i="21"/>
  <c r="C330" i="21"/>
  <c r="B330" i="21"/>
  <c r="W329" i="21"/>
  <c r="V329" i="21"/>
  <c r="T329" i="21"/>
  <c r="S329" i="21"/>
  <c r="R329" i="21"/>
  <c r="P329" i="21"/>
  <c r="O329" i="21"/>
  <c r="N329" i="21"/>
  <c r="M329" i="21"/>
  <c r="I329" i="21"/>
  <c r="H329" i="21"/>
  <c r="G329" i="21"/>
  <c r="F329" i="21"/>
  <c r="C329" i="21"/>
  <c r="B329" i="21"/>
  <c r="W328" i="21"/>
  <c r="V328" i="21"/>
  <c r="T328" i="21"/>
  <c r="S328" i="21"/>
  <c r="R328" i="21"/>
  <c r="P328" i="21"/>
  <c r="O328" i="21"/>
  <c r="N328" i="21"/>
  <c r="M328" i="21"/>
  <c r="I328" i="21"/>
  <c r="H328" i="21"/>
  <c r="G328" i="21"/>
  <c r="F328" i="21"/>
  <c r="C328" i="21"/>
  <c r="B328" i="21"/>
  <c r="W327" i="21"/>
  <c r="V327" i="21"/>
  <c r="T327" i="21"/>
  <c r="S327" i="21"/>
  <c r="R327" i="21"/>
  <c r="P327" i="21"/>
  <c r="O327" i="21"/>
  <c r="N327" i="21"/>
  <c r="M327" i="21"/>
  <c r="I327" i="21"/>
  <c r="H327" i="21"/>
  <c r="G327" i="21"/>
  <c r="F327" i="21"/>
  <c r="C327" i="21"/>
  <c r="B327" i="21"/>
  <c r="W326" i="21"/>
  <c r="V326" i="21"/>
  <c r="T326" i="21"/>
  <c r="S326" i="21"/>
  <c r="R326" i="21"/>
  <c r="P326" i="21"/>
  <c r="O326" i="21"/>
  <c r="N326" i="21"/>
  <c r="M326" i="21"/>
  <c r="I326" i="21"/>
  <c r="H326" i="21"/>
  <c r="G326" i="21"/>
  <c r="F326" i="21"/>
  <c r="C326" i="21"/>
  <c r="B326" i="21"/>
  <c r="W325" i="21"/>
  <c r="V325" i="21"/>
  <c r="T325" i="21"/>
  <c r="S325" i="21"/>
  <c r="R325" i="21"/>
  <c r="P325" i="21"/>
  <c r="O325" i="21"/>
  <c r="N325" i="21"/>
  <c r="M325" i="21"/>
  <c r="I325" i="21"/>
  <c r="H325" i="21"/>
  <c r="G325" i="21"/>
  <c r="F325" i="21"/>
  <c r="C325" i="21"/>
  <c r="B325" i="21"/>
  <c r="W324" i="21"/>
  <c r="V324" i="21"/>
  <c r="T324" i="21"/>
  <c r="S324" i="21"/>
  <c r="R324" i="21"/>
  <c r="P324" i="21"/>
  <c r="O324" i="21"/>
  <c r="N324" i="21"/>
  <c r="M324" i="21"/>
  <c r="I324" i="21"/>
  <c r="H324" i="21"/>
  <c r="G324" i="21"/>
  <c r="F324" i="21"/>
  <c r="C324" i="21"/>
  <c r="B324" i="21"/>
  <c r="W323" i="21"/>
  <c r="V323" i="21"/>
  <c r="T323" i="21"/>
  <c r="S323" i="21"/>
  <c r="R323" i="21"/>
  <c r="P323" i="21"/>
  <c r="O323" i="21"/>
  <c r="N323" i="21"/>
  <c r="M323" i="21"/>
  <c r="I323" i="21"/>
  <c r="H323" i="21"/>
  <c r="G323" i="21"/>
  <c r="F323" i="21"/>
  <c r="C323" i="21"/>
  <c r="B323" i="21"/>
  <c r="W322" i="21"/>
  <c r="V322" i="21"/>
  <c r="T322" i="21"/>
  <c r="S322" i="21"/>
  <c r="R322" i="21"/>
  <c r="P322" i="21"/>
  <c r="O322" i="21"/>
  <c r="N322" i="21"/>
  <c r="M322" i="21"/>
  <c r="I322" i="21"/>
  <c r="H322" i="21"/>
  <c r="G322" i="21"/>
  <c r="F322" i="21"/>
  <c r="C322" i="21"/>
  <c r="B322" i="21"/>
  <c r="W321" i="21"/>
  <c r="V321" i="21"/>
  <c r="T321" i="21"/>
  <c r="S321" i="21"/>
  <c r="R321" i="21"/>
  <c r="P321" i="21"/>
  <c r="O321" i="21"/>
  <c r="N321" i="21"/>
  <c r="M321" i="21"/>
  <c r="I321" i="21"/>
  <c r="H321" i="21"/>
  <c r="G321" i="21"/>
  <c r="F321" i="21"/>
  <c r="C321" i="21"/>
  <c r="B321" i="21"/>
  <c r="W320" i="21"/>
  <c r="V320" i="21"/>
  <c r="T320" i="21"/>
  <c r="S320" i="21"/>
  <c r="R320" i="21"/>
  <c r="P320" i="21"/>
  <c r="O320" i="21"/>
  <c r="N320" i="21"/>
  <c r="I320" i="21"/>
  <c r="H320" i="21"/>
  <c r="G320" i="21"/>
  <c r="F320" i="21"/>
  <c r="C320" i="21"/>
  <c r="B320" i="21"/>
  <c r="W319" i="21"/>
  <c r="V319" i="21"/>
  <c r="T319" i="21"/>
  <c r="S319" i="21"/>
  <c r="R319" i="21"/>
  <c r="P319" i="21"/>
  <c r="O319" i="21"/>
  <c r="N319" i="21"/>
  <c r="M319" i="21"/>
  <c r="I319" i="21"/>
  <c r="H319" i="21"/>
  <c r="G319" i="21"/>
  <c r="F319" i="21"/>
  <c r="C319" i="21"/>
  <c r="B319" i="21"/>
  <c r="W318" i="21"/>
  <c r="V318" i="21"/>
  <c r="T318" i="21"/>
  <c r="S318" i="21"/>
  <c r="R318" i="21"/>
  <c r="P318" i="21"/>
  <c r="O318" i="21"/>
  <c r="N318" i="21"/>
  <c r="M318" i="21"/>
  <c r="I318" i="21"/>
  <c r="H318" i="21"/>
  <c r="G318" i="21"/>
  <c r="F318" i="21"/>
  <c r="C318" i="21"/>
  <c r="B318" i="21"/>
  <c r="W317" i="21"/>
  <c r="V317" i="21"/>
  <c r="T317" i="21"/>
  <c r="S317" i="21"/>
  <c r="R317" i="21"/>
  <c r="P317" i="21"/>
  <c r="O317" i="21"/>
  <c r="N317" i="21"/>
  <c r="M317" i="21"/>
  <c r="I317" i="21"/>
  <c r="H317" i="21"/>
  <c r="G317" i="21"/>
  <c r="F317" i="21"/>
  <c r="C317" i="21"/>
  <c r="B317" i="21"/>
  <c r="W316" i="21"/>
  <c r="V316" i="21"/>
  <c r="T316" i="21"/>
  <c r="S316" i="21"/>
  <c r="R316" i="21"/>
  <c r="P316" i="21"/>
  <c r="O316" i="21"/>
  <c r="N316" i="21"/>
  <c r="M316" i="21"/>
  <c r="I316" i="21"/>
  <c r="H316" i="21"/>
  <c r="G316" i="21"/>
  <c r="F316" i="21"/>
  <c r="C316" i="21"/>
  <c r="B316" i="21"/>
  <c r="W315" i="21"/>
  <c r="V315" i="21"/>
  <c r="T315" i="21"/>
  <c r="S315" i="21"/>
  <c r="R315" i="21"/>
  <c r="P315" i="21"/>
  <c r="O315" i="21"/>
  <c r="N315" i="21"/>
  <c r="M315" i="21"/>
  <c r="I315" i="21"/>
  <c r="H315" i="21"/>
  <c r="G315" i="21"/>
  <c r="F315" i="21"/>
  <c r="C315" i="21"/>
  <c r="B315" i="21"/>
  <c r="W314" i="21"/>
  <c r="V314" i="21"/>
  <c r="T314" i="21"/>
  <c r="S314" i="21"/>
  <c r="R314" i="21"/>
  <c r="P314" i="21"/>
  <c r="O314" i="21"/>
  <c r="N314" i="21"/>
  <c r="M314" i="21"/>
  <c r="I314" i="21"/>
  <c r="H314" i="21"/>
  <c r="G314" i="21"/>
  <c r="F314" i="21"/>
  <c r="C314" i="21"/>
  <c r="B314" i="21"/>
  <c r="W313" i="21"/>
  <c r="V313" i="21"/>
  <c r="T313" i="21"/>
  <c r="S313" i="21"/>
  <c r="R313" i="21"/>
  <c r="P313" i="21"/>
  <c r="O313" i="21"/>
  <c r="N313" i="21"/>
  <c r="M313" i="21"/>
  <c r="I313" i="21"/>
  <c r="H313" i="21"/>
  <c r="G313" i="21"/>
  <c r="F313" i="21"/>
  <c r="C313" i="21"/>
  <c r="B313" i="21"/>
  <c r="W312" i="21"/>
  <c r="V312" i="21"/>
  <c r="T312" i="21"/>
  <c r="S312" i="21"/>
  <c r="R312" i="21"/>
  <c r="P312" i="21"/>
  <c r="O312" i="21"/>
  <c r="N312" i="21"/>
  <c r="M312" i="21"/>
  <c r="I312" i="21"/>
  <c r="H312" i="21"/>
  <c r="G312" i="21"/>
  <c r="F312" i="21"/>
  <c r="C312" i="21"/>
  <c r="B312" i="21"/>
  <c r="W311" i="21"/>
  <c r="V311" i="21"/>
  <c r="T311" i="21"/>
  <c r="S311" i="21"/>
  <c r="R311" i="21"/>
  <c r="P311" i="21"/>
  <c r="O311" i="21"/>
  <c r="N311" i="21"/>
  <c r="M311" i="21"/>
  <c r="I311" i="21"/>
  <c r="H311" i="21"/>
  <c r="G311" i="21"/>
  <c r="F311" i="21"/>
  <c r="C311" i="21"/>
  <c r="B311" i="21"/>
  <c r="W310" i="21"/>
  <c r="V310" i="21"/>
  <c r="T310" i="21"/>
  <c r="S310" i="21"/>
  <c r="R310" i="21"/>
  <c r="P310" i="21"/>
  <c r="O310" i="21"/>
  <c r="N310" i="21"/>
  <c r="I310" i="21"/>
  <c r="H310" i="21"/>
  <c r="G310" i="21"/>
  <c r="F310" i="21"/>
  <c r="C310" i="21"/>
  <c r="B310" i="21"/>
  <c r="W309" i="21"/>
  <c r="V309" i="21"/>
  <c r="T309" i="21"/>
  <c r="S309" i="21"/>
  <c r="R309" i="21"/>
  <c r="P309" i="21"/>
  <c r="O309" i="21"/>
  <c r="N309" i="21"/>
  <c r="M309" i="21"/>
  <c r="I309" i="21"/>
  <c r="H309" i="21"/>
  <c r="G309" i="21"/>
  <c r="F309" i="21"/>
  <c r="C309" i="21"/>
  <c r="B309" i="21"/>
  <c r="W308" i="21"/>
  <c r="V308" i="21"/>
  <c r="T308" i="21"/>
  <c r="S308" i="21"/>
  <c r="R308" i="21"/>
  <c r="P308" i="21"/>
  <c r="O308" i="21"/>
  <c r="N308" i="21"/>
  <c r="M308" i="21"/>
  <c r="I308" i="21"/>
  <c r="H308" i="21"/>
  <c r="G308" i="21"/>
  <c r="F308" i="21"/>
  <c r="C308" i="21"/>
  <c r="B308" i="21"/>
  <c r="W307" i="21"/>
  <c r="V307" i="21"/>
  <c r="T307" i="21"/>
  <c r="S307" i="21"/>
  <c r="R307" i="21"/>
  <c r="P307" i="21"/>
  <c r="O307" i="21"/>
  <c r="N307" i="21"/>
  <c r="M307" i="21"/>
  <c r="I307" i="21"/>
  <c r="H307" i="21"/>
  <c r="G307" i="21"/>
  <c r="F307" i="21"/>
  <c r="C307" i="21"/>
  <c r="B307" i="21"/>
  <c r="W306" i="21"/>
  <c r="V306" i="21"/>
  <c r="T306" i="21"/>
  <c r="S306" i="21"/>
  <c r="R306" i="21"/>
  <c r="P306" i="21"/>
  <c r="O306" i="21"/>
  <c r="N306" i="21"/>
  <c r="M306" i="21"/>
  <c r="I306" i="21"/>
  <c r="H306" i="21"/>
  <c r="G306" i="21"/>
  <c r="F306" i="21"/>
  <c r="C306" i="21"/>
  <c r="B306" i="21"/>
  <c r="W305" i="21"/>
  <c r="V305" i="21"/>
  <c r="T305" i="21"/>
  <c r="S305" i="21"/>
  <c r="R305" i="21"/>
  <c r="P305" i="21"/>
  <c r="O305" i="21"/>
  <c r="N305" i="21"/>
  <c r="M305" i="21"/>
  <c r="I305" i="21"/>
  <c r="H305" i="21"/>
  <c r="G305" i="21"/>
  <c r="F305" i="21"/>
  <c r="C305" i="21"/>
  <c r="B305" i="21"/>
  <c r="W304" i="21"/>
  <c r="V304" i="21"/>
  <c r="T304" i="21"/>
  <c r="S304" i="21"/>
  <c r="R304" i="21"/>
  <c r="P304" i="21"/>
  <c r="O304" i="21"/>
  <c r="N304" i="21"/>
  <c r="M304" i="21"/>
  <c r="I304" i="21"/>
  <c r="H304" i="21"/>
  <c r="G304" i="21"/>
  <c r="F304" i="21"/>
  <c r="C304" i="21"/>
  <c r="B304" i="21"/>
  <c r="W303" i="21"/>
  <c r="V303" i="21"/>
  <c r="T303" i="21"/>
  <c r="S303" i="21"/>
  <c r="R303" i="21"/>
  <c r="P303" i="21"/>
  <c r="O303" i="21"/>
  <c r="N303" i="21"/>
  <c r="M303" i="21"/>
  <c r="I303" i="21"/>
  <c r="H303" i="21"/>
  <c r="G303" i="21"/>
  <c r="F303" i="21"/>
  <c r="C303" i="21"/>
  <c r="B303" i="21"/>
  <c r="W302" i="21"/>
  <c r="V302" i="21"/>
  <c r="T302" i="21"/>
  <c r="S302" i="21"/>
  <c r="R302" i="21"/>
  <c r="P302" i="21"/>
  <c r="O302" i="21"/>
  <c r="N302" i="21"/>
  <c r="M302" i="21"/>
  <c r="I302" i="21"/>
  <c r="H302" i="21"/>
  <c r="G302" i="21"/>
  <c r="F302" i="21"/>
  <c r="C302" i="21"/>
  <c r="B302" i="21"/>
  <c r="W301" i="21"/>
  <c r="V301" i="21"/>
  <c r="T301" i="21"/>
  <c r="S301" i="21"/>
  <c r="R301" i="21"/>
  <c r="P301" i="21"/>
  <c r="O301" i="21"/>
  <c r="N301" i="21"/>
  <c r="M301" i="21"/>
  <c r="I301" i="21"/>
  <c r="H301" i="21"/>
  <c r="G301" i="21"/>
  <c r="F301" i="21"/>
  <c r="C301" i="21"/>
  <c r="B301" i="21"/>
  <c r="W300" i="21"/>
  <c r="V300" i="21"/>
  <c r="T300" i="21"/>
  <c r="S300" i="21"/>
  <c r="R300" i="21"/>
  <c r="P300" i="21"/>
  <c r="O300" i="21"/>
  <c r="N300" i="21"/>
  <c r="I300" i="21"/>
  <c r="H300" i="21"/>
  <c r="G300" i="21"/>
  <c r="F300" i="21"/>
  <c r="C300" i="21"/>
  <c r="B300" i="21"/>
  <c r="W299" i="21"/>
  <c r="V299" i="21"/>
  <c r="T299" i="21"/>
  <c r="S299" i="21"/>
  <c r="R299" i="21"/>
  <c r="P299" i="21"/>
  <c r="O299" i="21"/>
  <c r="N299" i="21"/>
  <c r="M299" i="21"/>
  <c r="I299" i="21"/>
  <c r="H299" i="21"/>
  <c r="G299" i="21"/>
  <c r="F299" i="21"/>
  <c r="C299" i="21"/>
  <c r="B299" i="21"/>
  <c r="W298" i="21"/>
  <c r="V298" i="21"/>
  <c r="T298" i="21"/>
  <c r="S298" i="21"/>
  <c r="R298" i="21"/>
  <c r="P298" i="21"/>
  <c r="O298" i="21"/>
  <c r="N298" i="21"/>
  <c r="M298" i="21"/>
  <c r="I298" i="21"/>
  <c r="H298" i="21"/>
  <c r="G298" i="21"/>
  <c r="F298" i="21"/>
  <c r="C298" i="21"/>
  <c r="B298" i="21"/>
  <c r="W297" i="21"/>
  <c r="V297" i="21"/>
  <c r="T297" i="21"/>
  <c r="S297" i="21"/>
  <c r="R297" i="21"/>
  <c r="P297" i="21"/>
  <c r="O297" i="21"/>
  <c r="N297" i="21"/>
  <c r="M297" i="21"/>
  <c r="I297" i="21"/>
  <c r="H297" i="21"/>
  <c r="G297" i="21"/>
  <c r="F297" i="21"/>
  <c r="C297" i="21"/>
  <c r="B297" i="21"/>
  <c r="W296" i="21"/>
  <c r="V296" i="21"/>
  <c r="T296" i="21"/>
  <c r="S296" i="21"/>
  <c r="R296" i="21"/>
  <c r="P296" i="21"/>
  <c r="O296" i="21"/>
  <c r="N296" i="21"/>
  <c r="M296" i="21"/>
  <c r="I296" i="21"/>
  <c r="H296" i="21"/>
  <c r="G296" i="21"/>
  <c r="F296" i="21"/>
  <c r="C296" i="21"/>
  <c r="B296" i="21"/>
  <c r="W295" i="21"/>
  <c r="V295" i="21"/>
  <c r="T295" i="21"/>
  <c r="S295" i="21"/>
  <c r="R295" i="21"/>
  <c r="P295" i="21"/>
  <c r="O295" i="21"/>
  <c r="N295" i="21"/>
  <c r="M295" i="21"/>
  <c r="I295" i="21"/>
  <c r="H295" i="21"/>
  <c r="G295" i="21"/>
  <c r="F295" i="21"/>
  <c r="C295" i="21"/>
  <c r="B295" i="21"/>
  <c r="W294" i="21"/>
  <c r="V294" i="21"/>
  <c r="T294" i="21"/>
  <c r="S294" i="21"/>
  <c r="R294" i="21"/>
  <c r="P294" i="21"/>
  <c r="O294" i="21"/>
  <c r="N294" i="21"/>
  <c r="M294" i="21"/>
  <c r="I294" i="21"/>
  <c r="H294" i="21"/>
  <c r="G294" i="21"/>
  <c r="F294" i="21"/>
  <c r="C294" i="21"/>
  <c r="B294" i="21"/>
  <c r="W293" i="21"/>
  <c r="V293" i="21"/>
  <c r="T293" i="21"/>
  <c r="S293" i="21"/>
  <c r="R293" i="21"/>
  <c r="P293" i="21"/>
  <c r="O293" i="21"/>
  <c r="N293" i="21"/>
  <c r="M293" i="21"/>
  <c r="I293" i="21"/>
  <c r="H293" i="21"/>
  <c r="G293" i="21"/>
  <c r="F293" i="21"/>
  <c r="C293" i="21"/>
  <c r="B293" i="21"/>
  <c r="W292" i="21"/>
  <c r="V292" i="21"/>
  <c r="T292" i="21"/>
  <c r="S292" i="21"/>
  <c r="R292" i="21"/>
  <c r="P292" i="21"/>
  <c r="O292" i="21"/>
  <c r="N292" i="21"/>
  <c r="M292" i="21"/>
  <c r="I292" i="21"/>
  <c r="H292" i="21"/>
  <c r="G292" i="21"/>
  <c r="F292" i="21"/>
  <c r="C292" i="21"/>
  <c r="B292" i="21"/>
  <c r="W291" i="21"/>
  <c r="V291" i="21"/>
  <c r="T291" i="21"/>
  <c r="S291" i="21"/>
  <c r="R291" i="21"/>
  <c r="P291" i="21"/>
  <c r="O291" i="21"/>
  <c r="N291" i="21"/>
  <c r="M291" i="21"/>
  <c r="I291" i="21"/>
  <c r="H291" i="21"/>
  <c r="G291" i="21"/>
  <c r="F291" i="21"/>
  <c r="C291" i="21"/>
  <c r="B291" i="21"/>
  <c r="W290" i="21"/>
  <c r="V290" i="21"/>
  <c r="T290" i="21"/>
  <c r="S290" i="21"/>
  <c r="R290" i="21"/>
  <c r="P290" i="21"/>
  <c r="O290" i="21"/>
  <c r="N290" i="21"/>
  <c r="I290" i="21"/>
  <c r="H290" i="21"/>
  <c r="G290" i="21"/>
  <c r="F290" i="21"/>
  <c r="C290" i="21"/>
  <c r="B290" i="21"/>
  <c r="W289" i="21"/>
  <c r="V289" i="21"/>
  <c r="T289" i="21"/>
  <c r="S289" i="21"/>
  <c r="R289" i="21"/>
  <c r="P289" i="21"/>
  <c r="O289" i="21"/>
  <c r="N289" i="21"/>
  <c r="M289" i="21"/>
  <c r="I289" i="21"/>
  <c r="H289" i="21"/>
  <c r="G289" i="21"/>
  <c r="F289" i="21"/>
  <c r="C289" i="21"/>
  <c r="B289" i="21"/>
  <c r="W288" i="21"/>
  <c r="V288" i="21"/>
  <c r="T288" i="21"/>
  <c r="S288" i="21"/>
  <c r="R288" i="21"/>
  <c r="P288" i="21"/>
  <c r="O288" i="21"/>
  <c r="N288" i="21"/>
  <c r="M288" i="21"/>
  <c r="I288" i="21"/>
  <c r="H288" i="21"/>
  <c r="G288" i="21"/>
  <c r="F288" i="21"/>
  <c r="C288" i="21"/>
  <c r="B288" i="21"/>
  <c r="W287" i="21"/>
  <c r="V287" i="21"/>
  <c r="T287" i="21"/>
  <c r="S287" i="21"/>
  <c r="R287" i="21"/>
  <c r="P287" i="21"/>
  <c r="O287" i="21"/>
  <c r="N287" i="21"/>
  <c r="M287" i="21"/>
  <c r="I287" i="21"/>
  <c r="H287" i="21"/>
  <c r="G287" i="21"/>
  <c r="F287" i="21"/>
  <c r="C287" i="21"/>
  <c r="B287" i="21"/>
  <c r="W286" i="21"/>
  <c r="V286" i="21"/>
  <c r="T286" i="21"/>
  <c r="S286" i="21"/>
  <c r="R286" i="21"/>
  <c r="P286" i="21"/>
  <c r="O286" i="21"/>
  <c r="N286" i="21"/>
  <c r="M286" i="21"/>
  <c r="I286" i="21"/>
  <c r="H286" i="21"/>
  <c r="G286" i="21"/>
  <c r="F286" i="21"/>
  <c r="C286" i="21"/>
  <c r="B286" i="21"/>
  <c r="W285" i="21"/>
  <c r="V285" i="21"/>
  <c r="T285" i="21"/>
  <c r="S285" i="21"/>
  <c r="R285" i="21"/>
  <c r="P285" i="21"/>
  <c r="O285" i="21"/>
  <c r="N285" i="21"/>
  <c r="M285" i="21"/>
  <c r="I285" i="21"/>
  <c r="H285" i="21"/>
  <c r="G285" i="21"/>
  <c r="F285" i="21"/>
  <c r="C285" i="21"/>
  <c r="B285" i="21"/>
  <c r="W284" i="21"/>
  <c r="V284" i="21"/>
  <c r="T284" i="21"/>
  <c r="S284" i="21"/>
  <c r="R284" i="21"/>
  <c r="P284" i="21"/>
  <c r="O284" i="21"/>
  <c r="N284" i="21"/>
  <c r="M284" i="21"/>
  <c r="I284" i="21"/>
  <c r="H284" i="21"/>
  <c r="G284" i="21"/>
  <c r="F284" i="21"/>
  <c r="C284" i="21"/>
  <c r="B284" i="21"/>
  <c r="W283" i="21"/>
  <c r="V283" i="21"/>
  <c r="T283" i="21"/>
  <c r="S283" i="21"/>
  <c r="R283" i="21"/>
  <c r="P283" i="21"/>
  <c r="O283" i="21"/>
  <c r="N283" i="21"/>
  <c r="M283" i="21"/>
  <c r="I283" i="21"/>
  <c r="H283" i="21"/>
  <c r="G283" i="21"/>
  <c r="F283" i="21"/>
  <c r="C283" i="21"/>
  <c r="B283" i="21"/>
  <c r="W282" i="21"/>
  <c r="V282" i="21"/>
  <c r="T282" i="21"/>
  <c r="S282" i="21"/>
  <c r="R282" i="21"/>
  <c r="P282" i="21"/>
  <c r="O282" i="21"/>
  <c r="N282" i="21"/>
  <c r="M282" i="21"/>
  <c r="I282" i="21"/>
  <c r="H282" i="21"/>
  <c r="G282" i="21"/>
  <c r="F282" i="21"/>
  <c r="C282" i="21"/>
  <c r="B282" i="21"/>
  <c r="W281" i="21"/>
  <c r="V281" i="21"/>
  <c r="T281" i="21"/>
  <c r="S281" i="21"/>
  <c r="R281" i="21"/>
  <c r="P281" i="21"/>
  <c r="O281" i="21"/>
  <c r="N281" i="21"/>
  <c r="M281" i="21"/>
  <c r="I281" i="21"/>
  <c r="H281" i="21"/>
  <c r="G281" i="21"/>
  <c r="F281" i="21"/>
  <c r="C281" i="21"/>
  <c r="B281" i="21"/>
  <c r="W280" i="21"/>
  <c r="V280" i="21"/>
  <c r="T280" i="21"/>
  <c r="S280" i="21"/>
  <c r="R280" i="21"/>
  <c r="P280" i="21"/>
  <c r="O280" i="21"/>
  <c r="N280" i="21"/>
  <c r="I280" i="21"/>
  <c r="H280" i="21"/>
  <c r="G280" i="21"/>
  <c r="F280" i="21"/>
  <c r="C280" i="21"/>
  <c r="B280" i="21"/>
  <c r="W279" i="21"/>
  <c r="V279" i="21"/>
  <c r="T279" i="21"/>
  <c r="S279" i="21"/>
  <c r="R279" i="21"/>
  <c r="P279" i="21"/>
  <c r="O279" i="21"/>
  <c r="N279" i="21"/>
  <c r="M279" i="21"/>
  <c r="I279" i="21"/>
  <c r="H279" i="21"/>
  <c r="G279" i="21"/>
  <c r="F279" i="21"/>
  <c r="C279" i="21"/>
  <c r="B279" i="21"/>
  <c r="W278" i="21"/>
  <c r="V278" i="21"/>
  <c r="T278" i="21"/>
  <c r="S278" i="21"/>
  <c r="R278" i="21"/>
  <c r="P278" i="21"/>
  <c r="O278" i="21"/>
  <c r="N278" i="21"/>
  <c r="M278" i="21"/>
  <c r="I278" i="21"/>
  <c r="H278" i="21"/>
  <c r="G278" i="21"/>
  <c r="F278" i="21"/>
  <c r="C278" i="21"/>
  <c r="B278" i="21"/>
  <c r="W277" i="21"/>
  <c r="V277" i="21"/>
  <c r="T277" i="21"/>
  <c r="S277" i="21"/>
  <c r="R277" i="21"/>
  <c r="P277" i="21"/>
  <c r="O277" i="21"/>
  <c r="N277" i="21"/>
  <c r="M277" i="21"/>
  <c r="I277" i="21"/>
  <c r="H277" i="21"/>
  <c r="G277" i="21"/>
  <c r="F277" i="21"/>
  <c r="C277" i="21"/>
  <c r="B277" i="21"/>
  <c r="W276" i="21"/>
  <c r="V276" i="21"/>
  <c r="T276" i="21"/>
  <c r="S276" i="21"/>
  <c r="R276" i="21"/>
  <c r="P276" i="21"/>
  <c r="O276" i="21"/>
  <c r="N276" i="21"/>
  <c r="M276" i="21"/>
  <c r="I276" i="21"/>
  <c r="H276" i="21"/>
  <c r="G276" i="21"/>
  <c r="F276" i="21"/>
  <c r="C276" i="21"/>
  <c r="B276" i="21"/>
  <c r="W275" i="21"/>
  <c r="V275" i="21"/>
  <c r="T275" i="21"/>
  <c r="S275" i="21"/>
  <c r="R275" i="21"/>
  <c r="P275" i="21"/>
  <c r="O275" i="21"/>
  <c r="N275" i="21"/>
  <c r="M275" i="21"/>
  <c r="I275" i="21"/>
  <c r="H275" i="21"/>
  <c r="G275" i="21"/>
  <c r="F275" i="21"/>
  <c r="C275" i="21"/>
  <c r="B275" i="21"/>
  <c r="W274" i="21"/>
  <c r="V274" i="21"/>
  <c r="T274" i="21"/>
  <c r="S274" i="21"/>
  <c r="R274" i="21"/>
  <c r="P274" i="21"/>
  <c r="O274" i="21"/>
  <c r="N274" i="21"/>
  <c r="M274" i="21"/>
  <c r="I274" i="21"/>
  <c r="H274" i="21"/>
  <c r="G274" i="21"/>
  <c r="F274" i="21"/>
  <c r="C274" i="21"/>
  <c r="B274" i="21"/>
  <c r="W273" i="21"/>
  <c r="V273" i="21"/>
  <c r="T273" i="21"/>
  <c r="S273" i="21"/>
  <c r="R273" i="21"/>
  <c r="P273" i="21"/>
  <c r="O273" i="21"/>
  <c r="N273" i="21"/>
  <c r="M273" i="21"/>
  <c r="I273" i="21"/>
  <c r="H273" i="21"/>
  <c r="G273" i="21"/>
  <c r="F273" i="21"/>
  <c r="C273" i="21"/>
  <c r="B273" i="21"/>
  <c r="W272" i="21"/>
  <c r="V272" i="21"/>
  <c r="T272" i="21"/>
  <c r="S272" i="21"/>
  <c r="R272" i="21"/>
  <c r="P272" i="21"/>
  <c r="O272" i="21"/>
  <c r="N272" i="21"/>
  <c r="M272" i="21"/>
  <c r="I272" i="21"/>
  <c r="H272" i="21"/>
  <c r="G272" i="21"/>
  <c r="F272" i="21"/>
  <c r="C272" i="21"/>
  <c r="B272" i="21"/>
  <c r="W271" i="21"/>
  <c r="V271" i="21"/>
  <c r="T271" i="21"/>
  <c r="S271" i="21"/>
  <c r="R271" i="21"/>
  <c r="P271" i="21"/>
  <c r="O271" i="21"/>
  <c r="N271" i="21"/>
  <c r="M271" i="21"/>
  <c r="I271" i="21"/>
  <c r="H271" i="21"/>
  <c r="G271" i="21"/>
  <c r="F271" i="21"/>
  <c r="C271" i="21"/>
  <c r="B271" i="21"/>
  <c r="W270" i="21"/>
  <c r="V270" i="21"/>
  <c r="T270" i="21"/>
  <c r="S270" i="21"/>
  <c r="R270" i="21"/>
  <c r="P270" i="21"/>
  <c r="O270" i="21"/>
  <c r="N270" i="21"/>
  <c r="I270" i="21"/>
  <c r="H270" i="21"/>
  <c r="G270" i="21"/>
  <c r="F270" i="21"/>
  <c r="C270" i="21"/>
  <c r="B270" i="21"/>
  <c r="W269" i="21"/>
  <c r="V269" i="21"/>
  <c r="T269" i="21"/>
  <c r="S269" i="21"/>
  <c r="R269" i="21"/>
  <c r="P269" i="21"/>
  <c r="O269" i="21"/>
  <c r="N269" i="21"/>
  <c r="M269" i="21"/>
  <c r="I269" i="21"/>
  <c r="H269" i="21"/>
  <c r="G269" i="21"/>
  <c r="F269" i="21"/>
  <c r="C269" i="21"/>
  <c r="B269" i="21"/>
  <c r="W268" i="21"/>
  <c r="V268" i="21"/>
  <c r="T268" i="21"/>
  <c r="S268" i="21"/>
  <c r="R268" i="21"/>
  <c r="P268" i="21"/>
  <c r="O268" i="21"/>
  <c r="N268" i="21"/>
  <c r="M268" i="21"/>
  <c r="I268" i="21"/>
  <c r="H268" i="21"/>
  <c r="G268" i="21"/>
  <c r="F268" i="21"/>
  <c r="C268" i="21"/>
  <c r="B268" i="21"/>
  <c r="W267" i="21"/>
  <c r="V267" i="21"/>
  <c r="T267" i="21"/>
  <c r="S267" i="21"/>
  <c r="R267" i="21"/>
  <c r="P267" i="21"/>
  <c r="O267" i="21"/>
  <c r="N267" i="21"/>
  <c r="M267" i="21"/>
  <c r="I267" i="21"/>
  <c r="H267" i="21"/>
  <c r="G267" i="21"/>
  <c r="F267" i="21"/>
  <c r="C267" i="21"/>
  <c r="B267" i="21"/>
  <c r="W266" i="21"/>
  <c r="V266" i="21"/>
  <c r="T266" i="21"/>
  <c r="S266" i="21"/>
  <c r="R266" i="21"/>
  <c r="P266" i="21"/>
  <c r="O266" i="21"/>
  <c r="N266" i="21"/>
  <c r="M266" i="21"/>
  <c r="I266" i="21"/>
  <c r="H266" i="21"/>
  <c r="G266" i="21"/>
  <c r="F266" i="21"/>
  <c r="C266" i="21"/>
  <c r="B266" i="21"/>
  <c r="W265" i="21"/>
  <c r="V265" i="21"/>
  <c r="T265" i="21"/>
  <c r="S265" i="21"/>
  <c r="R265" i="21"/>
  <c r="P265" i="21"/>
  <c r="O265" i="21"/>
  <c r="N265" i="21"/>
  <c r="M265" i="21"/>
  <c r="I265" i="21"/>
  <c r="H265" i="21"/>
  <c r="G265" i="21"/>
  <c r="F265" i="21"/>
  <c r="C265" i="21"/>
  <c r="B265" i="21"/>
  <c r="W264" i="21"/>
  <c r="V264" i="21"/>
  <c r="T264" i="21"/>
  <c r="S264" i="21"/>
  <c r="R264" i="21"/>
  <c r="P264" i="21"/>
  <c r="O264" i="21"/>
  <c r="N264" i="21"/>
  <c r="M264" i="21"/>
  <c r="I264" i="21"/>
  <c r="H264" i="21"/>
  <c r="G264" i="21"/>
  <c r="F264" i="21"/>
  <c r="C264" i="21"/>
  <c r="B264" i="21"/>
  <c r="W263" i="21"/>
  <c r="V263" i="21"/>
  <c r="T263" i="21"/>
  <c r="S263" i="21"/>
  <c r="R263" i="21"/>
  <c r="P263" i="21"/>
  <c r="O263" i="21"/>
  <c r="N263" i="21"/>
  <c r="M263" i="21"/>
  <c r="I263" i="21"/>
  <c r="H263" i="21"/>
  <c r="G263" i="21"/>
  <c r="F263" i="21"/>
  <c r="C263" i="21"/>
  <c r="B263" i="21"/>
  <c r="W262" i="21"/>
  <c r="V262" i="21"/>
  <c r="T262" i="21"/>
  <c r="S262" i="21"/>
  <c r="R262" i="21"/>
  <c r="P262" i="21"/>
  <c r="O262" i="21"/>
  <c r="N262" i="21"/>
  <c r="M262" i="21"/>
  <c r="I262" i="21"/>
  <c r="H262" i="21"/>
  <c r="G262" i="21"/>
  <c r="F262" i="21"/>
  <c r="C262" i="21"/>
  <c r="B262" i="21"/>
  <c r="W261" i="21"/>
  <c r="V261" i="21"/>
  <c r="T261" i="21"/>
  <c r="S261" i="21"/>
  <c r="R261" i="21"/>
  <c r="P261" i="21"/>
  <c r="O261" i="21"/>
  <c r="N261" i="21"/>
  <c r="M261" i="21"/>
  <c r="I261" i="21"/>
  <c r="H261" i="21"/>
  <c r="G261" i="21"/>
  <c r="F261" i="21"/>
  <c r="C261" i="21"/>
  <c r="B261" i="21"/>
  <c r="W260" i="21"/>
  <c r="V260" i="21"/>
  <c r="T260" i="21"/>
  <c r="S260" i="21"/>
  <c r="R260" i="21"/>
  <c r="P260" i="21"/>
  <c r="O260" i="21"/>
  <c r="N260" i="21"/>
  <c r="I260" i="21"/>
  <c r="H260" i="21"/>
  <c r="G260" i="21"/>
  <c r="F260" i="21"/>
  <c r="C260" i="21"/>
  <c r="B260" i="21"/>
  <c r="W259" i="21"/>
  <c r="V259" i="21"/>
  <c r="T259" i="21"/>
  <c r="S259" i="21"/>
  <c r="R259" i="21"/>
  <c r="P259" i="21"/>
  <c r="O259" i="21"/>
  <c r="N259" i="21"/>
  <c r="M259" i="21"/>
  <c r="I259" i="21"/>
  <c r="H259" i="21"/>
  <c r="G259" i="21"/>
  <c r="F259" i="21"/>
  <c r="C259" i="21"/>
  <c r="B259" i="21"/>
  <c r="W258" i="21"/>
  <c r="V258" i="21"/>
  <c r="T258" i="21"/>
  <c r="S258" i="21"/>
  <c r="R258" i="21"/>
  <c r="P258" i="21"/>
  <c r="O258" i="21"/>
  <c r="N258" i="21"/>
  <c r="M258" i="21"/>
  <c r="I258" i="21"/>
  <c r="H258" i="21"/>
  <c r="G258" i="21"/>
  <c r="F258" i="21"/>
  <c r="C258" i="21"/>
  <c r="B258" i="21"/>
  <c r="W257" i="21"/>
  <c r="V257" i="21"/>
  <c r="T257" i="21"/>
  <c r="S257" i="21"/>
  <c r="R257" i="21"/>
  <c r="P257" i="21"/>
  <c r="O257" i="21"/>
  <c r="N257" i="21"/>
  <c r="M257" i="21"/>
  <c r="I257" i="21"/>
  <c r="H257" i="21"/>
  <c r="G257" i="21"/>
  <c r="F257" i="21"/>
  <c r="C257" i="21"/>
  <c r="B257" i="21"/>
  <c r="W256" i="21"/>
  <c r="V256" i="21"/>
  <c r="T256" i="21"/>
  <c r="S256" i="21"/>
  <c r="R256" i="21"/>
  <c r="P256" i="21"/>
  <c r="O256" i="21"/>
  <c r="N256" i="21"/>
  <c r="M256" i="21"/>
  <c r="I256" i="21"/>
  <c r="H256" i="21"/>
  <c r="G256" i="21"/>
  <c r="F256" i="21"/>
  <c r="C256" i="21"/>
  <c r="B256" i="21"/>
  <c r="W255" i="21"/>
  <c r="V255" i="21"/>
  <c r="T255" i="21"/>
  <c r="S255" i="21"/>
  <c r="R255" i="21"/>
  <c r="P255" i="21"/>
  <c r="O255" i="21"/>
  <c r="N255" i="21"/>
  <c r="M255" i="21"/>
  <c r="I255" i="21"/>
  <c r="H255" i="21"/>
  <c r="G255" i="21"/>
  <c r="F255" i="21"/>
  <c r="C255" i="21"/>
  <c r="B255" i="21"/>
  <c r="W254" i="21"/>
  <c r="V254" i="21"/>
  <c r="T254" i="21"/>
  <c r="S254" i="21"/>
  <c r="R254" i="21"/>
  <c r="P254" i="21"/>
  <c r="O254" i="21"/>
  <c r="N254" i="21"/>
  <c r="M254" i="21"/>
  <c r="I254" i="21"/>
  <c r="H254" i="21"/>
  <c r="G254" i="21"/>
  <c r="F254" i="21"/>
  <c r="C254" i="21"/>
  <c r="B254" i="21"/>
  <c r="W253" i="21"/>
  <c r="V253" i="21"/>
  <c r="T253" i="21"/>
  <c r="S253" i="21"/>
  <c r="R253" i="21"/>
  <c r="P253" i="21"/>
  <c r="O253" i="21"/>
  <c r="N253" i="21"/>
  <c r="M253" i="21"/>
  <c r="I253" i="21"/>
  <c r="H253" i="21"/>
  <c r="G253" i="21"/>
  <c r="F253" i="21"/>
  <c r="C253" i="21"/>
  <c r="B253" i="21"/>
  <c r="W252" i="21"/>
  <c r="V252" i="21"/>
  <c r="T252" i="21"/>
  <c r="S252" i="21"/>
  <c r="R252" i="21"/>
  <c r="P252" i="21"/>
  <c r="O252" i="21"/>
  <c r="N252" i="21"/>
  <c r="M252" i="21"/>
  <c r="I252" i="21"/>
  <c r="H252" i="21"/>
  <c r="G252" i="21"/>
  <c r="F252" i="21"/>
  <c r="C252" i="21"/>
  <c r="B252" i="21"/>
  <c r="W251" i="21"/>
  <c r="V251" i="21"/>
  <c r="T251" i="21"/>
  <c r="S251" i="21"/>
  <c r="R251" i="21"/>
  <c r="P251" i="21"/>
  <c r="O251" i="21"/>
  <c r="N251" i="21"/>
  <c r="M251" i="21"/>
  <c r="I251" i="21"/>
  <c r="H251" i="21"/>
  <c r="G251" i="21"/>
  <c r="F251" i="21"/>
  <c r="C251" i="21"/>
  <c r="B251" i="21"/>
  <c r="W250" i="21"/>
  <c r="V250" i="21"/>
  <c r="T250" i="21"/>
  <c r="S250" i="21"/>
  <c r="R250" i="21"/>
  <c r="P250" i="21"/>
  <c r="O250" i="21"/>
  <c r="N250" i="21"/>
  <c r="I250" i="21"/>
  <c r="H250" i="21"/>
  <c r="G250" i="21"/>
  <c r="F250" i="21"/>
  <c r="C250" i="21"/>
  <c r="B250" i="21"/>
  <c r="W249" i="21"/>
  <c r="V249" i="21"/>
  <c r="T249" i="21"/>
  <c r="S249" i="21"/>
  <c r="R249" i="21"/>
  <c r="P249" i="21"/>
  <c r="O249" i="21"/>
  <c r="N249" i="21"/>
  <c r="M249" i="21"/>
  <c r="I249" i="21"/>
  <c r="H249" i="21"/>
  <c r="G249" i="21"/>
  <c r="F249" i="21"/>
  <c r="C249" i="21"/>
  <c r="B249" i="21"/>
  <c r="W248" i="21"/>
  <c r="V248" i="21"/>
  <c r="T248" i="21"/>
  <c r="S248" i="21"/>
  <c r="R248" i="21"/>
  <c r="P248" i="21"/>
  <c r="O248" i="21"/>
  <c r="N248" i="21"/>
  <c r="M248" i="21"/>
  <c r="I248" i="21"/>
  <c r="H248" i="21"/>
  <c r="G248" i="21"/>
  <c r="F248" i="21"/>
  <c r="C248" i="21"/>
  <c r="B248" i="21"/>
  <c r="W247" i="21"/>
  <c r="V247" i="21"/>
  <c r="T247" i="21"/>
  <c r="S247" i="21"/>
  <c r="R247" i="21"/>
  <c r="P247" i="21"/>
  <c r="O247" i="21"/>
  <c r="N247" i="21"/>
  <c r="M247" i="21"/>
  <c r="I247" i="21"/>
  <c r="H247" i="21"/>
  <c r="G247" i="21"/>
  <c r="F247" i="21"/>
  <c r="C247" i="21"/>
  <c r="B247" i="21"/>
  <c r="W246" i="21"/>
  <c r="V246" i="21"/>
  <c r="T246" i="21"/>
  <c r="S246" i="21"/>
  <c r="R246" i="21"/>
  <c r="P246" i="21"/>
  <c r="O246" i="21"/>
  <c r="N246" i="21"/>
  <c r="M246" i="21"/>
  <c r="I246" i="21"/>
  <c r="H246" i="21"/>
  <c r="G246" i="21"/>
  <c r="F246" i="21"/>
  <c r="C246" i="21"/>
  <c r="B246" i="21"/>
  <c r="W245" i="21"/>
  <c r="V245" i="21"/>
  <c r="T245" i="21"/>
  <c r="S245" i="21"/>
  <c r="R245" i="21"/>
  <c r="P245" i="21"/>
  <c r="O245" i="21"/>
  <c r="N245" i="21"/>
  <c r="M245" i="21"/>
  <c r="I245" i="21"/>
  <c r="H245" i="21"/>
  <c r="G245" i="21"/>
  <c r="F245" i="21"/>
  <c r="C245" i="21"/>
  <c r="B245" i="21"/>
  <c r="W244" i="21"/>
  <c r="V244" i="21"/>
  <c r="T244" i="21"/>
  <c r="S244" i="21"/>
  <c r="R244" i="21"/>
  <c r="P244" i="21"/>
  <c r="O244" i="21"/>
  <c r="N244" i="21"/>
  <c r="M244" i="21"/>
  <c r="I244" i="21"/>
  <c r="H244" i="21"/>
  <c r="G244" i="21"/>
  <c r="F244" i="21"/>
  <c r="C244" i="21"/>
  <c r="B244" i="21"/>
  <c r="W243" i="21"/>
  <c r="V243" i="21"/>
  <c r="T243" i="21"/>
  <c r="S243" i="21"/>
  <c r="R243" i="21"/>
  <c r="P243" i="21"/>
  <c r="O243" i="21"/>
  <c r="N243" i="21"/>
  <c r="M243" i="21"/>
  <c r="I243" i="21"/>
  <c r="H243" i="21"/>
  <c r="G243" i="21"/>
  <c r="F243" i="21"/>
  <c r="C243" i="21"/>
  <c r="B243" i="21"/>
  <c r="W242" i="21"/>
  <c r="V242" i="21"/>
  <c r="T242" i="21"/>
  <c r="S242" i="21"/>
  <c r="R242" i="21"/>
  <c r="P242" i="21"/>
  <c r="O242" i="21"/>
  <c r="N242" i="21"/>
  <c r="M242" i="21"/>
  <c r="I242" i="21"/>
  <c r="H242" i="21"/>
  <c r="G242" i="21"/>
  <c r="F242" i="21"/>
  <c r="C242" i="21"/>
  <c r="B242" i="21"/>
  <c r="W241" i="21"/>
  <c r="V241" i="21"/>
  <c r="T241" i="21"/>
  <c r="S241" i="21"/>
  <c r="R241" i="21"/>
  <c r="P241" i="21"/>
  <c r="O241" i="21"/>
  <c r="N241" i="21"/>
  <c r="M241" i="21"/>
  <c r="I241" i="21"/>
  <c r="H241" i="21"/>
  <c r="G241" i="21"/>
  <c r="F241" i="21"/>
  <c r="C241" i="21"/>
  <c r="B241" i="21"/>
  <c r="W240" i="21"/>
  <c r="V240" i="21"/>
  <c r="T240" i="21"/>
  <c r="S240" i="21"/>
  <c r="R240" i="21"/>
  <c r="P240" i="21"/>
  <c r="O240" i="21"/>
  <c r="N240" i="21"/>
  <c r="I240" i="21"/>
  <c r="H240" i="21"/>
  <c r="G240" i="21"/>
  <c r="F240" i="21"/>
  <c r="C240" i="21"/>
  <c r="B240" i="21"/>
  <c r="W239" i="21"/>
  <c r="V239" i="21"/>
  <c r="T239" i="21"/>
  <c r="S239" i="21"/>
  <c r="R239" i="21"/>
  <c r="P239" i="21"/>
  <c r="O239" i="21"/>
  <c r="N239" i="21"/>
  <c r="M239" i="21"/>
  <c r="I239" i="21"/>
  <c r="H239" i="21"/>
  <c r="G239" i="21"/>
  <c r="F239" i="21"/>
  <c r="C239" i="21"/>
  <c r="B239" i="21"/>
  <c r="W238" i="21"/>
  <c r="V238" i="21"/>
  <c r="T238" i="21"/>
  <c r="S238" i="21"/>
  <c r="R238" i="21"/>
  <c r="P238" i="21"/>
  <c r="O238" i="21"/>
  <c r="N238" i="21"/>
  <c r="M238" i="21"/>
  <c r="I238" i="21"/>
  <c r="H238" i="21"/>
  <c r="G238" i="21"/>
  <c r="F238" i="21"/>
  <c r="C238" i="21"/>
  <c r="B238" i="21"/>
  <c r="W237" i="21"/>
  <c r="V237" i="21"/>
  <c r="T237" i="21"/>
  <c r="S237" i="21"/>
  <c r="R237" i="21"/>
  <c r="P237" i="21"/>
  <c r="O237" i="21"/>
  <c r="N237" i="21"/>
  <c r="M237" i="21"/>
  <c r="I237" i="21"/>
  <c r="H237" i="21"/>
  <c r="G237" i="21"/>
  <c r="F237" i="21"/>
  <c r="C237" i="21"/>
  <c r="B237" i="21"/>
  <c r="W236" i="21"/>
  <c r="V236" i="21"/>
  <c r="T236" i="21"/>
  <c r="S236" i="21"/>
  <c r="R236" i="21"/>
  <c r="P236" i="21"/>
  <c r="O236" i="21"/>
  <c r="N236" i="21"/>
  <c r="M236" i="21"/>
  <c r="I236" i="21"/>
  <c r="H236" i="21"/>
  <c r="G236" i="21"/>
  <c r="F236" i="21"/>
  <c r="C236" i="21"/>
  <c r="B236" i="21"/>
  <c r="W235" i="21"/>
  <c r="V235" i="21"/>
  <c r="T235" i="21"/>
  <c r="S235" i="21"/>
  <c r="R235" i="21"/>
  <c r="P235" i="21"/>
  <c r="O235" i="21"/>
  <c r="N235" i="21"/>
  <c r="M235" i="21"/>
  <c r="I235" i="21"/>
  <c r="H235" i="21"/>
  <c r="G235" i="21"/>
  <c r="F235" i="21"/>
  <c r="C235" i="21"/>
  <c r="B235" i="21"/>
  <c r="W234" i="21"/>
  <c r="V234" i="21"/>
  <c r="T234" i="21"/>
  <c r="S234" i="21"/>
  <c r="R234" i="21"/>
  <c r="P234" i="21"/>
  <c r="O234" i="21"/>
  <c r="N234" i="21"/>
  <c r="M234" i="21"/>
  <c r="I234" i="21"/>
  <c r="H234" i="21"/>
  <c r="G234" i="21"/>
  <c r="F234" i="21"/>
  <c r="C234" i="21"/>
  <c r="B234" i="21"/>
  <c r="W233" i="21"/>
  <c r="V233" i="21"/>
  <c r="T233" i="21"/>
  <c r="S233" i="21"/>
  <c r="R233" i="21"/>
  <c r="P233" i="21"/>
  <c r="O233" i="21"/>
  <c r="N233" i="21"/>
  <c r="M233" i="21"/>
  <c r="I233" i="21"/>
  <c r="H233" i="21"/>
  <c r="G233" i="21"/>
  <c r="F233" i="21"/>
  <c r="C233" i="21"/>
  <c r="B233" i="21"/>
  <c r="W232" i="21"/>
  <c r="V232" i="21"/>
  <c r="T232" i="21"/>
  <c r="S232" i="21"/>
  <c r="R232" i="21"/>
  <c r="P232" i="21"/>
  <c r="O232" i="21"/>
  <c r="N232" i="21"/>
  <c r="M232" i="21"/>
  <c r="I232" i="21"/>
  <c r="H232" i="21"/>
  <c r="G232" i="21"/>
  <c r="F232" i="21"/>
  <c r="C232" i="21"/>
  <c r="B232" i="21"/>
  <c r="W231" i="21"/>
  <c r="V231" i="21"/>
  <c r="T231" i="21"/>
  <c r="S231" i="21"/>
  <c r="R231" i="21"/>
  <c r="P231" i="21"/>
  <c r="O231" i="21"/>
  <c r="N231" i="21"/>
  <c r="M231" i="21"/>
  <c r="I231" i="21"/>
  <c r="H231" i="21"/>
  <c r="G231" i="21"/>
  <c r="F231" i="21"/>
  <c r="C231" i="21"/>
  <c r="B231" i="21"/>
  <c r="W230" i="21"/>
  <c r="V230" i="21"/>
  <c r="T230" i="21"/>
  <c r="S230" i="21"/>
  <c r="R230" i="21"/>
  <c r="P230" i="21"/>
  <c r="O230" i="21"/>
  <c r="N230" i="21"/>
  <c r="I230" i="21"/>
  <c r="H230" i="21"/>
  <c r="G230" i="21"/>
  <c r="F230" i="21"/>
  <c r="C230" i="21"/>
  <c r="B230" i="21"/>
  <c r="W229" i="21"/>
  <c r="V229" i="21"/>
  <c r="T229" i="21"/>
  <c r="S229" i="21"/>
  <c r="R229" i="21"/>
  <c r="P229" i="21"/>
  <c r="O229" i="21"/>
  <c r="N229" i="21"/>
  <c r="M229" i="21"/>
  <c r="I229" i="21"/>
  <c r="H229" i="21"/>
  <c r="G229" i="21"/>
  <c r="F229" i="21"/>
  <c r="C229" i="21"/>
  <c r="B229" i="21"/>
  <c r="W228" i="21"/>
  <c r="V228" i="21"/>
  <c r="T228" i="21"/>
  <c r="S228" i="21"/>
  <c r="R228" i="21"/>
  <c r="P228" i="21"/>
  <c r="O228" i="21"/>
  <c r="N228" i="21"/>
  <c r="M228" i="21"/>
  <c r="I228" i="21"/>
  <c r="H228" i="21"/>
  <c r="G228" i="21"/>
  <c r="F228" i="21"/>
  <c r="C228" i="21"/>
  <c r="B228" i="21"/>
  <c r="W227" i="21"/>
  <c r="V227" i="21"/>
  <c r="T227" i="21"/>
  <c r="S227" i="21"/>
  <c r="R227" i="21"/>
  <c r="P227" i="21"/>
  <c r="O227" i="21"/>
  <c r="N227" i="21"/>
  <c r="M227" i="21"/>
  <c r="I227" i="21"/>
  <c r="H227" i="21"/>
  <c r="G227" i="21"/>
  <c r="F227" i="21"/>
  <c r="C227" i="21"/>
  <c r="B227" i="21"/>
  <c r="W226" i="21"/>
  <c r="V226" i="21"/>
  <c r="T226" i="21"/>
  <c r="S226" i="21"/>
  <c r="R226" i="21"/>
  <c r="P226" i="21"/>
  <c r="O226" i="21"/>
  <c r="N226" i="21"/>
  <c r="M226" i="21"/>
  <c r="I226" i="21"/>
  <c r="H226" i="21"/>
  <c r="G226" i="21"/>
  <c r="F226" i="21"/>
  <c r="C226" i="21"/>
  <c r="B226" i="21"/>
  <c r="W225" i="21"/>
  <c r="V225" i="21"/>
  <c r="T225" i="21"/>
  <c r="S225" i="21"/>
  <c r="R225" i="21"/>
  <c r="P225" i="21"/>
  <c r="O225" i="21"/>
  <c r="N225" i="21"/>
  <c r="M225" i="21"/>
  <c r="I225" i="21"/>
  <c r="H225" i="21"/>
  <c r="G225" i="21"/>
  <c r="F225" i="21"/>
  <c r="C225" i="21"/>
  <c r="B225" i="21"/>
  <c r="W224" i="21"/>
  <c r="V224" i="21"/>
  <c r="T224" i="21"/>
  <c r="S224" i="21"/>
  <c r="R224" i="21"/>
  <c r="P224" i="21"/>
  <c r="O224" i="21"/>
  <c r="N224" i="21"/>
  <c r="M224" i="21"/>
  <c r="I224" i="21"/>
  <c r="H224" i="21"/>
  <c r="G224" i="21"/>
  <c r="F224" i="21"/>
  <c r="C224" i="21"/>
  <c r="B224" i="21"/>
  <c r="W223" i="21"/>
  <c r="V223" i="21"/>
  <c r="T223" i="21"/>
  <c r="S223" i="21"/>
  <c r="R223" i="21"/>
  <c r="P223" i="21"/>
  <c r="O223" i="21"/>
  <c r="N223" i="21"/>
  <c r="M223" i="21"/>
  <c r="I223" i="21"/>
  <c r="H223" i="21"/>
  <c r="G223" i="21"/>
  <c r="F223" i="21"/>
  <c r="C223" i="21"/>
  <c r="B223" i="21"/>
  <c r="W222" i="21"/>
  <c r="V222" i="21"/>
  <c r="T222" i="21"/>
  <c r="S222" i="21"/>
  <c r="R222" i="21"/>
  <c r="P222" i="21"/>
  <c r="O222" i="21"/>
  <c r="N222" i="21"/>
  <c r="M222" i="21"/>
  <c r="I222" i="21"/>
  <c r="H222" i="21"/>
  <c r="G222" i="21"/>
  <c r="F222" i="21"/>
  <c r="C222" i="21"/>
  <c r="B222" i="21"/>
  <c r="W221" i="21"/>
  <c r="V221" i="21"/>
  <c r="T221" i="21"/>
  <c r="S221" i="21"/>
  <c r="R221" i="21"/>
  <c r="P221" i="21"/>
  <c r="O221" i="21"/>
  <c r="N221" i="21"/>
  <c r="M221" i="21"/>
  <c r="I221" i="21"/>
  <c r="H221" i="21"/>
  <c r="G221" i="21"/>
  <c r="F221" i="21"/>
  <c r="C221" i="21"/>
  <c r="B221" i="21"/>
  <c r="W220" i="21"/>
  <c r="V220" i="21"/>
  <c r="T220" i="21"/>
  <c r="S220" i="21"/>
  <c r="R220" i="21"/>
  <c r="P220" i="21"/>
  <c r="O220" i="21"/>
  <c r="N220" i="21"/>
  <c r="I220" i="21"/>
  <c r="H220" i="21"/>
  <c r="G220" i="21"/>
  <c r="F220" i="21"/>
  <c r="C220" i="21"/>
  <c r="B220" i="21"/>
  <c r="W219" i="21"/>
  <c r="V219" i="21"/>
  <c r="T219" i="21"/>
  <c r="S219" i="21"/>
  <c r="R219" i="21"/>
  <c r="P219" i="21"/>
  <c r="O219" i="21"/>
  <c r="N219" i="21"/>
  <c r="M219" i="21"/>
  <c r="I219" i="21"/>
  <c r="H219" i="21"/>
  <c r="G219" i="21"/>
  <c r="F219" i="21"/>
  <c r="C219" i="21"/>
  <c r="B219" i="21"/>
  <c r="W218" i="21"/>
  <c r="V218" i="21"/>
  <c r="T218" i="21"/>
  <c r="S218" i="21"/>
  <c r="R218" i="21"/>
  <c r="P218" i="21"/>
  <c r="O218" i="21"/>
  <c r="N218" i="21"/>
  <c r="M218" i="21"/>
  <c r="I218" i="21"/>
  <c r="H218" i="21"/>
  <c r="G218" i="21"/>
  <c r="F218" i="21"/>
  <c r="C218" i="21"/>
  <c r="B218" i="21"/>
  <c r="W217" i="21"/>
  <c r="V217" i="21"/>
  <c r="T217" i="21"/>
  <c r="S217" i="21"/>
  <c r="R217" i="21"/>
  <c r="P217" i="21"/>
  <c r="O217" i="21"/>
  <c r="N217" i="21"/>
  <c r="M217" i="21"/>
  <c r="I217" i="21"/>
  <c r="H217" i="21"/>
  <c r="G217" i="21"/>
  <c r="F217" i="21"/>
  <c r="C217" i="21"/>
  <c r="B217" i="21"/>
  <c r="W216" i="21"/>
  <c r="V216" i="21"/>
  <c r="T216" i="21"/>
  <c r="S216" i="21"/>
  <c r="R216" i="21"/>
  <c r="P216" i="21"/>
  <c r="O216" i="21"/>
  <c r="N216" i="21"/>
  <c r="M216" i="21"/>
  <c r="I216" i="21"/>
  <c r="H216" i="21"/>
  <c r="G216" i="21"/>
  <c r="F216" i="21"/>
  <c r="C216" i="21"/>
  <c r="B216" i="21"/>
  <c r="W215" i="21"/>
  <c r="V215" i="21"/>
  <c r="T215" i="21"/>
  <c r="S215" i="21"/>
  <c r="R215" i="21"/>
  <c r="P215" i="21"/>
  <c r="O215" i="21"/>
  <c r="N215" i="21"/>
  <c r="M215" i="21"/>
  <c r="I215" i="21"/>
  <c r="H215" i="21"/>
  <c r="G215" i="21"/>
  <c r="F215" i="21"/>
  <c r="C215" i="21"/>
  <c r="B215" i="21"/>
  <c r="W214" i="21"/>
  <c r="V214" i="21"/>
  <c r="T214" i="21"/>
  <c r="S214" i="21"/>
  <c r="R214" i="21"/>
  <c r="P214" i="21"/>
  <c r="O214" i="21"/>
  <c r="N214" i="21"/>
  <c r="M214" i="21"/>
  <c r="I214" i="21"/>
  <c r="H214" i="21"/>
  <c r="G214" i="21"/>
  <c r="F214" i="21"/>
  <c r="C214" i="21"/>
  <c r="B214" i="21"/>
  <c r="W213" i="21"/>
  <c r="V213" i="21"/>
  <c r="T213" i="21"/>
  <c r="S213" i="21"/>
  <c r="R213" i="21"/>
  <c r="P213" i="21"/>
  <c r="O213" i="21"/>
  <c r="N213" i="21"/>
  <c r="M213" i="21"/>
  <c r="I213" i="21"/>
  <c r="H213" i="21"/>
  <c r="G213" i="21"/>
  <c r="F213" i="21"/>
  <c r="C213" i="21"/>
  <c r="B213" i="21"/>
  <c r="W212" i="21"/>
  <c r="V212" i="21"/>
  <c r="T212" i="21"/>
  <c r="S212" i="21"/>
  <c r="R212" i="21"/>
  <c r="P212" i="21"/>
  <c r="O212" i="21"/>
  <c r="N212" i="21"/>
  <c r="M212" i="21"/>
  <c r="I212" i="21"/>
  <c r="H212" i="21"/>
  <c r="G212" i="21"/>
  <c r="F212" i="21"/>
  <c r="C212" i="21"/>
  <c r="B212" i="21"/>
  <c r="W211" i="21"/>
  <c r="V211" i="21"/>
  <c r="T211" i="21"/>
  <c r="S211" i="21"/>
  <c r="R211" i="21"/>
  <c r="P211" i="21"/>
  <c r="O211" i="21"/>
  <c r="N211" i="21"/>
  <c r="M211" i="21"/>
  <c r="I211" i="21"/>
  <c r="H211" i="21"/>
  <c r="G211" i="21"/>
  <c r="F211" i="21"/>
  <c r="C211" i="21"/>
  <c r="B211" i="21"/>
  <c r="W210" i="21"/>
  <c r="V210" i="21"/>
  <c r="T210" i="21"/>
  <c r="S210" i="21"/>
  <c r="R210" i="21"/>
  <c r="P210" i="21"/>
  <c r="O210" i="21"/>
  <c r="N210" i="21"/>
  <c r="I210" i="21"/>
  <c r="H210" i="21"/>
  <c r="G210" i="21"/>
  <c r="F210" i="21"/>
  <c r="C210" i="21"/>
  <c r="B210" i="21"/>
  <c r="W209" i="21"/>
  <c r="V209" i="21"/>
  <c r="T209" i="21"/>
  <c r="S209" i="21"/>
  <c r="R209" i="21"/>
  <c r="P209" i="21"/>
  <c r="O209" i="21"/>
  <c r="N209" i="21"/>
  <c r="M209" i="21"/>
  <c r="I209" i="21"/>
  <c r="H209" i="21"/>
  <c r="G209" i="21"/>
  <c r="F209" i="21"/>
  <c r="C209" i="21"/>
  <c r="B209" i="21"/>
  <c r="W208" i="21"/>
  <c r="V208" i="21"/>
  <c r="T208" i="21"/>
  <c r="S208" i="21"/>
  <c r="R208" i="21"/>
  <c r="P208" i="21"/>
  <c r="O208" i="21"/>
  <c r="N208" i="21"/>
  <c r="M208" i="21"/>
  <c r="I208" i="21"/>
  <c r="H208" i="21"/>
  <c r="G208" i="21"/>
  <c r="F208" i="21"/>
  <c r="C208" i="21"/>
  <c r="B208" i="21"/>
  <c r="W207" i="21"/>
  <c r="V207" i="21"/>
  <c r="T207" i="21"/>
  <c r="S207" i="21"/>
  <c r="R207" i="21"/>
  <c r="P207" i="21"/>
  <c r="O207" i="21"/>
  <c r="N207" i="21"/>
  <c r="M207" i="21"/>
  <c r="I207" i="21"/>
  <c r="H207" i="21"/>
  <c r="G207" i="21"/>
  <c r="F207" i="21"/>
  <c r="C207" i="21"/>
  <c r="B207" i="21"/>
  <c r="W206" i="21"/>
  <c r="V206" i="21"/>
  <c r="T206" i="21"/>
  <c r="S206" i="21"/>
  <c r="R206" i="21"/>
  <c r="P206" i="21"/>
  <c r="O206" i="21"/>
  <c r="N206" i="21"/>
  <c r="M206" i="21"/>
  <c r="I206" i="21"/>
  <c r="H206" i="21"/>
  <c r="G206" i="21"/>
  <c r="F206" i="21"/>
  <c r="C206" i="21"/>
  <c r="B206" i="21"/>
  <c r="W205" i="21"/>
  <c r="V205" i="21"/>
  <c r="T205" i="21"/>
  <c r="S205" i="21"/>
  <c r="R205" i="21"/>
  <c r="P205" i="21"/>
  <c r="O205" i="21"/>
  <c r="N205" i="21"/>
  <c r="M205" i="21"/>
  <c r="I205" i="21"/>
  <c r="H205" i="21"/>
  <c r="G205" i="21"/>
  <c r="F205" i="21"/>
  <c r="C205" i="21"/>
  <c r="B205" i="21"/>
  <c r="W204" i="21"/>
  <c r="V204" i="21"/>
  <c r="T204" i="21"/>
  <c r="S204" i="21"/>
  <c r="R204" i="21"/>
  <c r="P204" i="21"/>
  <c r="O204" i="21"/>
  <c r="N204" i="21"/>
  <c r="M204" i="21"/>
  <c r="I204" i="21"/>
  <c r="H204" i="21"/>
  <c r="G204" i="21"/>
  <c r="F204" i="21"/>
  <c r="C204" i="21"/>
  <c r="B204" i="21"/>
  <c r="W203" i="21"/>
  <c r="V203" i="21"/>
  <c r="T203" i="21"/>
  <c r="S203" i="21"/>
  <c r="R203" i="21"/>
  <c r="P203" i="21"/>
  <c r="O203" i="21"/>
  <c r="N203" i="21"/>
  <c r="M203" i="21"/>
  <c r="I203" i="21"/>
  <c r="H203" i="21"/>
  <c r="G203" i="21"/>
  <c r="F203" i="21"/>
  <c r="C203" i="21"/>
  <c r="B203" i="21"/>
  <c r="W202" i="21"/>
  <c r="V202" i="21"/>
  <c r="T202" i="21"/>
  <c r="S202" i="21"/>
  <c r="R202" i="21"/>
  <c r="P202" i="21"/>
  <c r="O202" i="21"/>
  <c r="N202" i="21"/>
  <c r="M202" i="21"/>
  <c r="I202" i="21"/>
  <c r="H202" i="21"/>
  <c r="G202" i="21"/>
  <c r="F202" i="21"/>
  <c r="C202" i="21"/>
  <c r="B202" i="21"/>
  <c r="W201" i="21"/>
  <c r="V201" i="21"/>
  <c r="T201" i="21"/>
  <c r="S201" i="21"/>
  <c r="R201" i="21"/>
  <c r="P201" i="21"/>
  <c r="O201" i="21"/>
  <c r="N201" i="21"/>
  <c r="M201" i="21"/>
  <c r="I201" i="21"/>
  <c r="H201" i="21"/>
  <c r="G201" i="21"/>
  <c r="F201" i="21"/>
  <c r="C201" i="21"/>
  <c r="B201" i="21"/>
  <c r="W200" i="21"/>
  <c r="V200" i="21"/>
  <c r="T200" i="21"/>
  <c r="S200" i="21"/>
  <c r="R200" i="21"/>
  <c r="P200" i="21"/>
  <c r="O200" i="21"/>
  <c r="N200" i="21"/>
  <c r="I200" i="21"/>
  <c r="H200" i="21"/>
  <c r="G200" i="21"/>
  <c r="F200" i="21"/>
  <c r="C200" i="21"/>
  <c r="B200" i="21"/>
  <c r="W199" i="21"/>
  <c r="V199" i="21"/>
  <c r="T199" i="21"/>
  <c r="S199" i="21"/>
  <c r="R199" i="21"/>
  <c r="P199" i="21"/>
  <c r="O199" i="21"/>
  <c r="N199" i="21"/>
  <c r="M199" i="21"/>
  <c r="I199" i="21"/>
  <c r="H199" i="21"/>
  <c r="G199" i="21"/>
  <c r="F199" i="21"/>
  <c r="C199" i="21"/>
  <c r="B199" i="21"/>
  <c r="W198" i="21"/>
  <c r="V198" i="21"/>
  <c r="T198" i="21"/>
  <c r="S198" i="21"/>
  <c r="R198" i="21"/>
  <c r="P198" i="21"/>
  <c r="O198" i="21"/>
  <c r="N198" i="21"/>
  <c r="M198" i="21"/>
  <c r="I198" i="21"/>
  <c r="H198" i="21"/>
  <c r="G198" i="21"/>
  <c r="F198" i="21"/>
  <c r="C198" i="21"/>
  <c r="B198" i="21"/>
  <c r="W197" i="21"/>
  <c r="V197" i="21"/>
  <c r="T197" i="21"/>
  <c r="S197" i="21"/>
  <c r="R197" i="21"/>
  <c r="P197" i="21"/>
  <c r="O197" i="21"/>
  <c r="N197" i="21"/>
  <c r="M197" i="21"/>
  <c r="I197" i="21"/>
  <c r="H197" i="21"/>
  <c r="G197" i="21"/>
  <c r="F197" i="21"/>
  <c r="C197" i="21"/>
  <c r="B197" i="21"/>
  <c r="W196" i="21"/>
  <c r="V196" i="21"/>
  <c r="T196" i="21"/>
  <c r="S196" i="21"/>
  <c r="R196" i="21"/>
  <c r="P196" i="21"/>
  <c r="O196" i="21"/>
  <c r="N196" i="21"/>
  <c r="M196" i="21"/>
  <c r="I196" i="21"/>
  <c r="H196" i="21"/>
  <c r="G196" i="21"/>
  <c r="F196" i="21"/>
  <c r="C196" i="21"/>
  <c r="B196" i="21"/>
  <c r="W195" i="21"/>
  <c r="V195" i="21"/>
  <c r="T195" i="21"/>
  <c r="S195" i="21"/>
  <c r="R195" i="21"/>
  <c r="P195" i="21"/>
  <c r="O195" i="21"/>
  <c r="N195" i="21"/>
  <c r="M195" i="21"/>
  <c r="I195" i="21"/>
  <c r="H195" i="21"/>
  <c r="G195" i="21"/>
  <c r="F195" i="21"/>
  <c r="C195" i="21"/>
  <c r="B195" i="21"/>
  <c r="W194" i="21"/>
  <c r="V194" i="21"/>
  <c r="T194" i="21"/>
  <c r="S194" i="21"/>
  <c r="R194" i="21"/>
  <c r="P194" i="21"/>
  <c r="O194" i="21"/>
  <c r="N194" i="21"/>
  <c r="M194" i="21"/>
  <c r="I194" i="21"/>
  <c r="H194" i="21"/>
  <c r="G194" i="21"/>
  <c r="F194" i="21"/>
  <c r="C194" i="21"/>
  <c r="B194" i="21"/>
  <c r="W193" i="21"/>
  <c r="V193" i="21"/>
  <c r="T193" i="21"/>
  <c r="S193" i="21"/>
  <c r="R193" i="21"/>
  <c r="P193" i="21"/>
  <c r="O193" i="21"/>
  <c r="N193" i="21"/>
  <c r="M193" i="21"/>
  <c r="I193" i="21"/>
  <c r="H193" i="21"/>
  <c r="G193" i="21"/>
  <c r="F193" i="21"/>
  <c r="C193" i="21"/>
  <c r="B193" i="21"/>
  <c r="W192" i="21"/>
  <c r="V192" i="21"/>
  <c r="T192" i="21"/>
  <c r="S192" i="21"/>
  <c r="R192" i="21"/>
  <c r="P192" i="21"/>
  <c r="O192" i="21"/>
  <c r="N192" i="21"/>
  <c r="M192" i="21"/>
  <c r="I192" i="21"/>
  <c r="H192" i="21"/>
  <c r="G192" i="21"/>
  <c r="F192" i="21"/>
  <c r="C192" i="21"/>
  <c r="B192" i="21"/>
  <c r="W191" i="21"/>
  <c r="V191" i="21"/>
  <c r="T191" i="21"/>
  <c r="S191" i="21"/>
  <c r="R191" i="21"/>
  <c r="P191" i="21"/>
  <c r="O191" i="21"/>
  <c r="N191" i="21"/>
  <c r="M191" i="21"/>
  <c r="I191" i="21"/>
  <c r="H191" i="21"/>
  <c r="G191" i="21"/>
  <c r="F191" i="21"/>
  <c r="C191" i="21"/>
  <c r="B191" i="21"/>
  <c r="W190" i="21"/>
  <c r="V190" i="21"/>
  <c r="T190" i="21"/>
  <c r="S190" i="21"/>
  <c r="R190" i="21"/>
  <c r="P190" i="21"/>
  <c r="O190" i="21"/>
  <c r="N190" i="21"/>
  <c r="I190" i="21"/>
  <c r="H190" i="21"/>
  <c r="G190" i="21"/>
  <c r="F190" i="21"/>
  <c r="C190" i="21"/>
  <c r="B190" i="21"/>
  <c r="W189" i="21"/>
  <c r="V189" i="21"/>
  <c r="T189" i="21"/>
  <c r="S189" i="21"/>
  <c r="R189" i="21"/>
  <c r="P189" i="21"/>
  <c r="O189" i="21"/>
  <c r="N189" i="21"/>
  <c r="M189" i="21"/>
  <c r="I189" i="21"/>
  <c r="H189" i="21"/>
  <c r="G189" i="21"/>
  <c r="F189" i="21"/>
  <c r="C189" i="21"/>
  <c r="B189" i="21"/>
  <c r="W188" i="21"/>
  <c r="V188" i="21"/>
  <c r="T188" i="21"/>
  <c r="S188" i="21"/>
  <c r="R188" i="21"/>
  <c r="P188" i="21"/>
  <c r="O188" i="21"/>
  <c r="N188" i="21"/>
  <c r="M188" i="21"/>
  <c r="I188" i="21"/>
  <c r="H188" i="21"/>
  <c r="G188" i="21"/>
  <c r="F188" i="21"/>
  <c r="C188" i="21"/>
  <c r="B188" i="21"/>
  <c r="W187" i="21"/>
  <c r="V187" i="21"/>
  <c r="T187" i="21"/>
  <c r="S187" i="21"/>
  <c r="R187" i="21"/>
  <c r="P187" i="21"/>
  <c r="O187" i="21"/>
  <c r="N187" i="21"/>
  <c r="M187" i="21"/>
  <c r="I187" i="21"/>
  <c r="H187" i="21"/>
  <c r="G187" i="21"/>
  <c r="F187" i="21"/>
  <c r="C187" i="21"/>
  <c r="B187" i="21"/>
  <c r="W186" i="21"/>
  <c r="V186" i="21"/>
  <c r="T186" i="21"/>
  <c r="S186" i="21"/>
  <c r="R186" i="21"/>
  <c r="P186" i="21"/>
  <c r="O186" i="21"/>
  <c r="N186" i="21"/>
  <c r="M186" i="21"/>
  <c r="I186" i="21"/>
  <c r="H186" i="21"/>
  <c r="G186" i="21"/>
  <c r="F186" i="21"/>
  <c r="C186" i="21"/>
  <c r="B186" i="21"/>
  <c r="W185" i="21"/>
  <c r="V185" i="21"/>
  <c r="T185" i="21"/>
  <c r="S185" i="21"/>
  <c r="R185" i="21"/>
  <c r="P185" i="21"/>
  <c r="O185" i="21"/>
  <c r="N185" i="21"/>
  <c r="M185" i="21"/>
  <c r="I185" i="21"/>
  <c r="H185" i="21"/>
  <c r="G185" i="21"/>
  <c r="F185" i="21"/>
  <c r="C185" i="21"/>
  <c r="B185" i="21"/>
  <c r="W184" i="21"/>
  <c r="V184" i="21"/>
  <c r="T184" i="21"/>
  <c r="S184" i="21"/>
  <c r="R184" i="21"/>
  <c r="P184" i="21"/>
  <c r="O184" i="21"/>
  <c r="N184" i="21"/>
  <c r="M184" i="21"/>
  <c r="I184" i="21"/>
  <c r="H184" i="21"/>
  <c r="G184" i="21"/>
  <c r="F184" i="21"/>
  <c r="C184" i="21"/>
  <c r="B184" i="21"/>
  <c r="W183" i="21"/>
  <c r="V183" i="21"/>
  <c r="T183" i="21"/>
  <c r="S183" i="21"/>
  <c r="R183" i="21"/>
  <c r="P183" i="21"/>
  <c r="O183" i="21"/>
  <c r="N183" i="21"/>
  <c r="M183" i="21"/>
  <c r="I183" i="21"/>
  <c r="H183" i="21"/>
  <c r="G183" i="21"/>
  <c r="F183" i="21"/>
  <c r="C183" i="21"/>
  <c r="B183" i="21"/>
  <c r="W182" i="21"/>
  <c r="V182" i="21"/>
  <c r="T182" i="21"/>
  <c r="S182" i="21"/>
  <c r="R182" i="21"/>
  <c r="P182" i="21"/>
  <c r="O182" i="21"/>
  <c r="N182" i="21"/>
  <c r="M182" i="21"/>
  <c r="I182" i="21"/>
  <c r="H182" i="21"/>
  <c r="G182" i="21"/>
  <c r="F182" i="21"/>
  <c r="C182" i="21"/>
  <c r="B182" i="21"/>
  <c r="W181" i="21"/>
  <c r="V181" i="21"/>
  <c r="T181" i="21"/>
  <c r="S181" i="21"/>
  <c r="R181" i="21"/>
  <c r="P181" i="21"/>
  <c r="O181" i="21"/>
  <c r="N181" i="21"/>
  <c r="M181" i="21"/>
  <c r="I181" i="21"/>
  <c r="H181" i="21"/>
  <c r="G181" i="21"/>
  <c r="F181" i="21"/>
  <c r="C181" i="21"/>
  <c r="B181" i="21"/>
  <c r="W180" i="21"/>
  <c r="V180" i="21"/>
  <c r="T180" i="21"/>
  <c r="S180" i="21"/>
  <c r="R180" i="21"/>
  <c r="P180" i="21"/>
  <c r="O180" i="21"/>
  <c r="N180" i="21"/>
  <c r="I180" i="21"/>
  <c r="H180" i="21"/>
  <c r="G180" i="21"/>
  <c r="F180" i="21"/>
  <c r="C180" i="21"/>
  <c r="B180" i="21"/>
  <c r="W179" i="21"/>
  <c r="V179" i="21"/>
  <c r="T179" i="21"/>
  <c r="S179" i="21"/>
  <c r="R179" i="21"/>
  <c r="P179" i="21"/>
  <c r="O179" i="21"/>
  <c r="N179" i="21"/>
  <c r="M179" i="21"/>
  <c r="I179" i="21"/>
  <c r="H179" i="21"/>
  <c r="G179" i="21"/>
  <c r="F179" i="21"/>
  <c r="C179" i="21"/>
  <c r="B179" i="21"/>
  <c r="W178" i="21"/>
  <c r="V178" i="21"/>
  <c r="T178" i="21"/>
  <c r="S178" i="21"/>
  <c r="R178" i="21"/>
  <c r="P178" i="21"/>
  <c r="O178" i="21"/>
  <c r="N178" i="21"/>
  <c r="M178" i="21"/>
  <c r="I178" i="21"/>
  <c r="H178" i="21"/>
  <c r="G178" i="21"/>
  <c r="F178" i="21"/>
  <c r="C178" i="21"/>
  <c r="B178" i="21"/>
  <c r="W177" i="21"/>
  <c r="V177" i="21"/>
  <c r="T177" i="21"/>
  <c r="S177" i="21"/>
  <c r="R177" i="21"/>
  <c r="P177" i="21"/>
  <c r="O177" i="21"/>
  <c r="N177" i="21"/>
  <c r="M177" i="21"/>
  <c r="I177" i="21"/>
  <c r="H177" i="21"/>
  <c r="G177" i="21"/>
  <c r="F177" i="21"/>
  <c r="C177" i="21"/>
  <c r="B177" i="21"/>
  <c r="W176" i="21"/>
  <c r="V176" i="21"/>
  <c r="T176" i="21"/>
  <c r="S176" i="21"/>
  <c r="R176" i="21"/>
  <c r="P176" i="21"/>
  <c r="O176" i="21"/>
  <c r="N176" i="21"/>
  <c r="M176" i="21"/>
  <c r="I176" i="21"/>
  <c r="H176" i="21"/>
  <c r="G176" i="21"/>
  <c r="F176" i="21"/>
  <c r="C176" i="21"/>
  <c r="B176" i="21"/>
  <c r="W175" i="21"/>
  <c r="V175" i="21"/>
  <c r="T175" i="21"/>
  <c r="S175" i="21"/>
  <c r="R175" i="21"/>
  <c r="P175" i="21"/>
  <c r="O175" i="21"/>
  <c r="N175" i="21"/>
  <c r="M175" i="21"/>
  <c r="I175" i="21"/>
  <c r="H175" i="21"/>
  <c r="G175" i="21"/>
  <c r="F175" i="21"/>
  <c r="C175" i="21"/>
  <c r="B175" i="21"/>
  <c r="W174" i="21"/>
  <c r="V174" i="21"/>
  <c r="T174" i="21"/>
  <c r="S174" i="21"/>
  <c r="R174" i="21"/>
  <c r="P174" i="21"/>
  <c r="O174" i="21"/>
  <c r="N174" i="21"/>
  <c r="M174" i="21"/>
  <c r="I174" i="21"/>
  <c r="H174" i="21"/>
  <c r="G174" i="21"/>
  <c r="F174" i="21"/>
  <c r="C174" i="21"/>
  <c r="B174" i="21"/>
  <c r="W173" i="21"/>
  <c r="V173" i="21"/>
  <c r="T173" i="21"/>
  <c r="S173" i="21"/>
  <c r="R173" i="21"/>
  <c r="P173" i="21"/>
  <c r="O173" i="21"/>
  <c r="N173" i="21"/>
  <c r="M173" i="21"/>
  <c r="I173" i="21"/>
  <c r="H173" i="21"/>
  <c r="G173" i="21"/>
  <c r="F173" i="21"/>
  <c r="C173" i="21"/>
  <c r="B173" i="21"/>
  <c r="W172" i="21"/>
  <c r="V172" i="21"/>
  <c r="T172" i="21"/>
  <c r="S172" i="21"/>
  <c r="R172" i="21"/>
  <c r="P172" i="21"/>
  <c r="O172" i="21"/>
  <c r="N172" i="21"/>
  <c r="M172" i="21"/>
  <c r="I172" i="21"/>
  <c r="H172" i="21"/>
  <c r="G172" i="21"/>
  <c r="F172" i="21"/>
  <c r="C172" i="21"/>
  <c r="B172" i="21"/>
  <c r="W171" i="21"/>
  <c r="V171" i="21"/>
  <c r="T171" i="21"/>
  <c r="S171" i="21"/>
  <c r="R171" i="21"/>
  <c r="P171" i="21"/>
  <c r="O171" i="21"/>
  <c r="N171" i="21"/>
  <c r="M171" i="21"/>
  <c r="I171" i="21"/>
  <c r="H171" i="21"/>
  <c r="G171" i="21"/>
  <c r="F171" i="21"/>
  <c r="C171" i="21"/>
  <c r="B171" i="21"/>
  <c r="W170" i="21"/>
  <c r="V170" i="21"/>
  <c r="T170" i="21"/>
  <c r="S170" i="21"/>
  <c r="R170" i="21"/>
  <c r="P170" i="21"/>
  <c r="O170" i="21"/>
  <c r="N170" i="21"/>
  <c r="I170" i="21"/>
  <c r="H170" i="21"/>
  <c r="G170" i="21"/>
  <c r="F170" i="21"/>
  <c r="C170" i="21"/>
  <c r="B170" i="21"/>
  <c r="W169" i="21"/>
  <c r="V169" i="21"/>
  <c r="T169" i="21"/>
  <c r="S169" i="21"/>
  <c r="R169" i="21"/>
  <c r="P169" i="21"/>
  <c r="O169" i="21"/>
  <c r="N169" i="21"/>
  <c r="M169" i="21"/>
  <c r="I169" i="21"/>
  <c r="H169" i="21"/>
  <c r="G169" i="21"/>
  <c r="F169" i="21"/>
  <c r="C169" i="21"/>
  <c r="B169" i="21"/>
  <c r="W168" i="21"/>
  <c r="V168" i="21"/>
  <c r="T168" i="21"/>
  <c r="S168" i="21"/>
  <c r="R168" i="21"/>
  <c r="P168" i="21"/>
  <c r="O168" i="21"/>
  <c r="N168" i="21"/>
  <c r="M168" i="21"/>
  <c r="I168" i="21"/>
  <c r="H168" i="21"/>
  <c r="G168" i="21"/>
  <c r="F168" i="21"/>
  <c r="C168" i="21"/>
  <c r="B168" i="21"/>
  <c r="W167" i="21"/>
  <c r="V167" i="21"/>
  <c r="T167" i="21"/>
  <c r="S167" i="21"/>
  <c r="R167" i="21"/>
  <c r="P167" i="21"/>
  <c r="O167" i="21"/>
  <c r="N167" i="21"/>
  <c r="M167" i="21"/>
  <c r="I167" i="21"/>
  <c r="H167" i="21"/>
  <c r="G167" i="21"/>
  <c r="F167" i="21"/>
  <c r="C167" i="21"/>
  <c r="B167" i="21"/>
  <c r="W166" i="21"/>
  <c r="V166" i="21"/>
  <c r="T166" i="21"/>
  <c r="S166" i="21"/>
  <c r="R166" i="21"/>
  <c r="P166" i="21"/>
  <c r="O166" i="21"/>
  <c r="N166" i="21"/>
  <c r="M166" i="21"/>
  <c r="I166" i="21"/>
  <c r="H166" i="21"/>
  <c r="G166" i="21"/>
  <c r="F166" i="21"/>
  <c r="C166" i="21"/>
  <c r="B166" i="21"/>
  <c r="W165" i="21"/>
  <c r="V165" i="21"/>
  <c r="T165" i="21"/>
  <c r="S165" i="21"/>
  <c r="R165" i="21"/>
  <c r="P165" i="21"/>
  <c r="O165" i="21"/>
  <c r="N165" i="21"/>
  <c r="M165" i="21"/>
  <c r="I165" i="21"/>
  <c r="H165" i="21"/>
  <c r="G165" i="21"/>
  <c r="F165" i="21"/>
  <c r="C165" i="21"/>
  <c r="B165" i="21"/>
  <c r="W164" i="21"/>
  <c r="V164" i="21"/>
  <c r="T164" i="21"/>
  <c r="S164" i="21"/>
  <c r="R164" i="21"/>
  <c r="P164" i="21"/>
  <c r="O164" i="21"/>
  <c r="N164" i="21"/>
  <c r="M164" i="21"/>
  <c r="I164" i="21"/>
  <c r="H164" i="21"/>
  <c r="G164" i="21"/>
  <c r="F164" i="21"/>
  <c r="C164" i="21"/>
  <c r="B164" i="21"/>
  <c r="W163" i="21"/>
  <c r="V163" i="21"/>
  <c r="T163" i="21"/>
  <c r="S163" i="21"/>
  <c r="R163" i="21"/>
  <c r="P163" i="21"/>
  <c r="O163" i="21"/>
  <c r="N163" i="21"/>
  <c r="M163" i="21"/>
  <c r="I163" i="21"/>
  <c r="H163" i="21"/>
  <c r="G163" i="21"/>
  <c r="F163" i="21"/>
  <c r="C163" i="21"/>
  <c r="B163" i="21"/>
  <c r="W162" i="21"/>
  <c r="V162" i="21"/>
  <c r="T162" i="21"/>
  <c r="S162" i="21"/>
  <c r="R162" i="21"/>
  <c r="P162" i="21"/>
  <c r="O162" i="21"/>
  <c r="N162" i="21"/>
  <c r="M162" i="21"/>
  <c r="I162" i="21"/>
  <c r="H162" i="21"/>
  <c r="G162" i="21"/>
  <c r="F162" i="21"/>
  <c r="C162" i="21"/>
  <c r="B162" i="21"/>
  <c r="W161" i="21"/>
  <c r="V161" i="21"/>
  <c r="T161" i="21"/>
  <c r="S161" i="21"/>
  <c r="R161" i="21"/>
  <c r="P161" i="21"/>
  <c r="O161" i="21"/>
  <c r="N161" i="21"/>
  <c r="M161" i="21"/>
  <c r="I161" i="21"/>
  <c r="H161" i="21"/>
  <c r="G161" i="21"/>
  <c r="F161" i="21"/>
  <c r="C161" i="21"/>
  <c r="B161" i="21"/>
  <c r="W160" i="21"/>
  <c r="V160" i="21"/>
  <c r="T160" i="21"/>
  <c r="S160" i="21"/>
  <c r="R160" i="21"/>
  <c r="P160" i="21"/>
  <c r="O160" i="21"/>
  <c r="N160" i="21"/>
  <c r="I160" i="21"/>
  <c r="H160" i="21"/>
  <c r="G160" i="21"/>
  <c r="F160" i="21"/>
  <c r="C160" i="21"/>
  <c r="B160" i="21"/>
  <c r="W159" i="21"/>
  <c r="V159" i="21"/>
  <c r="T159" i="21"/>
  <c r="S159" i="21"/>
  <c r="R159" i="21"/>
  <c r="P159" i="21"/>
  <c r="O159" i="21"/>
  <c r="N159" i="21"/>
  <c r="M159" i="21"/>
  <c r="I159" i="21"/>
  <c r="H159" i="21"/>
  <c r="G159" i="21"/>
  <c r="F159" i="21"/>
  <c r="C159" i="21"/>
  <c r="B159" i="21"/>
  <c r="W158" i="21"/>
  <c r="V158" i="21"/>
  <c r="T158" i="21"/>
  <c r="S158" i="21"/>
  <c r="R158" i="21"/>
  <c r="P158" i="21"/>
  <c r="O158" i="21"/>
  <c r="N158" i="21"/>
  <c r="M158" i="21"/>
  <c r="I158" i="21"/>
  <c r="H158" i="21"/>
  <c r="G158" i="21"/>
  <c r="F158" i="21"/>
  <c r="C158" i="21"/>
  <c r="B158" i="21"/>
  <c r="W157" i="21"/>
  <c r="V157" i="21"/>
  <c r="T157" i="21"/>
  <c r="S157" i="21"/>
  <c r="R157" i="21"/>
  <c r="P157" i="21"/>
  <c r="O157" i="21"/>
  <c r="N157" i="21"/>
  <c r="M157" i="21"/>
  <c r="I157" i="21"/>
  <c r="H157" i="21"/>
  <c r="G157" i="21"/>
  <c r="F157" i="21"/>
  <c r="C157" i="21"/>
  <c r="B157" i="21"/>
  <c r="W156" i="21"/>
  <c r="V156" i="21"/>
  <c r="T156" i="21"/>
  <c r="S156" i="21"/>
  <c r="R156" i="21"/>
  <c r="P156" i="21"/>
  <c r="O156" i="21"/>
  <c r="N156" i="21"/>
  <c r="M156" i="21"/>
  <c r="I156" i="21"/>
  <c r="H156" i="21"/>
  <c r="G156" i="21"/>
  <c r="F156" i="21"/>
  <c r="C156" i="21"/>
  <c r="B156" i="21"/>
  <c r="W155" i="21"/>
  <c r="V155" i="21"/>
  <c r="T155" i="21"/>
  <c r="S155" i="21"/>
  <c r="R155" i="21"/>
  <c r="P155" i="21"/>
  <c r="O155" i="21"/>
  <c r="N155" i="21"/>
  <c r="M155" i="21"/>
  <c r="I155" i="21"/>
  <c r="H155" i="21"/>
  <c r="G155" i="21"/>
  <c r="F155" i="21"/>
  <c r="C155" i="21"/>
  <c r="B155" i="21"/>
  <c r="W154" i="21"/>
  <c r="V154" i="21"/>
  <c r="T154" i="21"/>
  <c r="S154" i="21"/>
  <c r="R154" i="21"/>
  <c r="P154" i="21"/>
  <c r="O154" i="21"/>
  <c r="N154" i="21"/>
  <c r="M154" i="21"/>
  <c r="I154" i="21"/>
  <c r="H154" i="21"/>
  <c r="G154" i="21"/>
  <c r="F154" i="21"/>
  <c r="C154" i="21"/>
  <c r="B154" i="21"/>
  <c r="W153" i="21"/>
  <c r="V153" i="21"/>
  <c r="T153" i="21"/>
  <c r="S153" i="21"/>
  <c r="R153" i="21"/>
  <c r="P153" i="21"/>
  <c r="O153" i="21"/>
  <c r="N153" i="21"/>
  <c r="M153" i="21"/>
  <c r="I153" i="21"/>
  <c r="H153" i="21"/>
  <c r="G153" i="21"/>
  <c r="F153" i="21"/>
  <c r="C153" i="21"/>
  <c r="B153" i="21"/>
  <c r="W152" i="21"/>
  <c r="V152" i="21"/>
  <c r="T152" i="21"/>
  <c r="S152" i="21"/>
  <c r="R152" i="21"/>
  <c r="P152" i="21"/>
  <c r="O152" i="21"/>
  <c r="N152" i="21"/>
  <c r="M152" i="21"/>
  <c r="I152" i="21"/>
  <c r="H152" i="21"/>
  <c r="G152" i="21"/>
  <c r="F152" i="21"/>
  <c r="C152" i="21"/>
  <c r="B152" i="21"/>
  <c r="W151" i="21"/>
  <c r="V151" i="21"/>
  <c r="T151" i="21"/>
  <c r="S151" i="21"/>
  <c r="R151" i="21"/>
  <c r="P151" i="21"/>
  <c r="O151" i="21"/>
  <c r="N151" i="21"/>
  <c r="M151" i="21"/>
  <c r="I151" i="21"/>
  <c r="H151" i="21"/>
  <c r="G151" i="21"/>
  <c r="F151" i="21"/>
  <c r="C151" i="21"/>
  <c r="B151" i="21"/>
  <c r="W150" i="21"/>
  <c r="V150" i="21"/>
  <c r="T150" i="21"/>
  <c r="S150" i="21"/>
  <c r="R150" i="21"/>
  <c r="P150" i="21"/>
  <c r="O150" i="21"/>
  <c r="N150" i="21"/>
  <c r="I150" i="21"/>
  <c r="H150" i="21"/>
  <c r="G150" i="21"/>
  <c r="F150" i="21"/>
  <c r="C150" i="21"/>
  <c r="B150" i="21"/>
  <c r="W149" i="21"/>
  <c r="V149" i="21"/>
  <c r="T149" i="21"/>
  <c r="S149" i="21"/>
  <c r="R149" i="21"/>
  <c r="P149" i="21"/>
  <c r="O149" i="21"/>
  <c r="N149" i="21"/>
  <c r="M149" i="21"/>
  <c r="I149" i="21"/>
  <c r="H149" i="21"/>
  <c r="G149" i="21"/>
  <c r="F149" i="21"/>
  <c r="C149" i="21"/>
  <c r="B149" i="21"/>
  <c r="W148" i="21"/>
  <c r="V148" i="21"/>
  <c r="T148" i="21"/>
  <c r="S148" i="21"/>
  <c r="R148" i="21"/>
  <c r="P148" i="21"/>
  <c r="O148" i="21"/>
  <c r="N148" i="21"/>
  <c r="M148" i="21"/>
  <c r="I148" i="21"/>
  <c r="H148" i="21"/>
  <c r="G148" i="21"/>
  <c r="F148" i="21"/>
  <c r="C148" i="21"/>
  <c r="B148" i="21"/>
  <c r="W147" i="21"/>
  <c r="V147" i="21"/>
  <c r="T147" i="21"/>
  <c r="S147" i="21"/>
  <c r="R147" i="21"/>
  <c r="P147" i="21"/>
  <c r="O147" i="21"/>
  <c r="N147" i="21"/>
  <c r="M147" i="21"/>
  <c r="I147" i="21"/>
  <c r="H147" i="21"/>
  <c r="G147" i="21"/>
  <c r="F147" i="21"/>
  <c r="C147" i="21"/>
  <c r="B147" i="21"/>
  <c r="W146" i="21"/>
  <c r="V146" i="21"/>
  <c r="T146" i="21"/>
  <c r="S146" i="21"/>
  <c r="R146" i="21"/>
  <c r="P146" i="21"/>
  <c r="O146" i="21"/>
  <c r="N146" i="21"/>
  <c r="M146" i="21"/>
  <c r="I146" i="21"/>
  <c r="H146" i="21"/>
  <c r="G146" i="21"/>
  <c r="F146" i="21"/>
  <c r="C146" i="21"/>
  <c r="B146" i="21"/>
  <c r="W145" i="21"/>
  <c r="V145" i="21"/>
  <c r="T145" i="21"/>
  <c r="S145" i="21"/>
  <c r="R145" i="21"/>
  <c r="P145" i="21"/>
  <c r="O145" i="21"/>
  <c r="N145" i="21"/>
  <c r="M145" i="21"/>
  <c r="I145" i="21"/>
  <c r="H145" i="21"/>
  <c r="G145" i="21"/>
  <c r="F145" i="21"/>
  <c r="C145" i="21"/>
  <c r="B145" i="21"/>
  <c r="W144" i="21"/>
  <c r="V144" i="21"/>
  <c r="T144" i="21"/>
  <c r="S144" i="21"/>
  <c r="R144" i="21"/>
  <c r="P144" i="21"/>
  <c r="O144" i="21"/>
  <c r="N144" i="21"/>
  <c r="M144" i="21"/>
  <c r="I144" i="21"/>
  <c r="H144" i="21"/>
  <c r="G144" i="21"/>
  <c r="F144" i="21"/>
  <c r="C144" i="21"/>
  <c r="B144" i="21"/>
  <c r="W143" i="21"/>
  <c r="V143" i="21"/>
  <c r="T143" i="21"/>
  <c r="S143" i="21"/>
  <c r="R143" i="21"/>
  <c r="P143" i="21"/>
  <c r="O143" i="21"/>
  <c r="N143" i="21"/>
  <c r="M143" i="21"/>
  <c r="I143" i="21"/>
  <c r="H143" i="21"/>
  <c r="G143" i="21"/>
  <c r="F143" i="21"/>
  <c r="C143" i="21"/>
  <c r="B143" i="21"/>
  <c r="W142" i="21"/>
  <c r="V142" i="21"/>
  <c r="T142" i="21"/>
  <c r="S142" i="21"/>
  <c r="R142" i="21"/>
  <c r="P142" i="21"/>
  <c r="O142" i="21"/>
  <c r="N142" i="21"/>
  <c r="M142" i="21"/>
  <c r="I142" i="21"/>
  <c r="H142" i="21"/>
  <c r="G142" i="21"/>
  <c r="F142" i="21"/>
  <c r="C142" i="21"/>
  <c r="B142" i="21"/>
  <c r="W141" i="21"/>
  <c r="V141" i="21"/>
  <c r="T141" i="21"/>
  <c r="S141" i="21"/>
  <c r="R141" i="21"/>
  <c r="P141" i="21"/>
  <c r="O141" i="21"/>
  <c r="N141" i="21"/>
  <c r="M141" i="21"/>
  <c r="I141" i="21"/>
  <c r="H141" i="21"/>
  <c r="G141" i="21"/>
  <c r="F141" i="21"/>
  <c r="C141" i="21"/>
  <c r="B141" i="21"/>
  <c r="W140" i="21"/>
  <c r="V140" i="21"/>
  <c r="T140" i="21"/>
  <c r="S140" i="21"/>
  <c r="R140" i="21"/>
  <c r="P140" i="21"/>
  <c r="O140" i="21"/>
  <c r="N140" i="21"/>
  <c r="I140" i="21"/>
  <c r="H140" i="21"/>
  <c r="G140" i="21"/>
  <c r="F140" i="21"/>
  <c r="C140" i="21"/>
  <c r="B140" i="21"/>
  <c r="W139" i="21"/>
  <c r="V139" i="21"/>
  <c r="T139" i="21"/>
  <c r="S139" i="21"/>
  <c r="R139" i="21"/>
  <c r="P139" i="21"/>
  <c r="O139" i="21"/>
  <c r="N139" i="21"/>
  <c r="M139" i="21"/>
  <c r="I139" i="21"/>
  <c r="H139" i="21"/>
  <c r="G139" i="21"/>
  <c r="F139" i="21"/>
  <c r="C139" i="21"/>
  <c r="B139" i="21"/>
  <c r="W138" i="21"/>
  <c r="V138" i="21"/>
  <c r="T138" i="21"/>
  <c r="S138" i="21"/>
  <c r="R138" i="21"/>
  <c r="P138" i="21"/>
  <c r="O138" i="21"/>
  <c r="N138" i="21"/>
  <c r="M138" i="21"/>
  <c r="I138" i="21"/>
  <c r="H138" i="21"/>
  <c r="G138" i="21"/>
  <c r="F138" i="21"/>
  <c r="C138" i="21"/>
  <c r="B138" i="21"/>
  <c r="W137" i="21"/>
  <c r="V137" i="21"/>
  <c r="T137" i="21"/>
  <c r="S137" i="21"/>
  <c r="R137" i="21"/>
  <c r="P137" i="21"/>
  <c r="O137" i="21"/>
  <c r="N137" i="21"/>
  <c r="M137" i="21"/>
  <c r="I137" i="21"/>
  <c r="H137" i="21"/>
  <c r="G137" i="21"/>
  <c r="F137" i="21"/>
  <c r="C137" i="21"/>
  <c r="B137" i="21"/>
  <c r="W136" i="21"/>
  <c r="V136" i="21"/>
  <c r="T136" i="21"/>
  <c r="S136" i="21"/>
  <c r="R136" i="21"/>
  <c r="P136" i="21"/>
  <c r="O136" i="21"/>
  <c r="N136" i="21"/>
  <c r="M136" i="21"/>
  <c r="I136" i="21"/>
  <c r="H136" i="21"/>
  <c r="G136" i="21"/>
  <c r="F136" i="21"/>
  <c r="C136" i="21"/>
  <c r="B136" i="21"/>
  <c r="W135" i="21"/>
  <c r="V135" i="21"/>
  <c r="T135" i="21"/>
  <c r="S135" i="21"/>
  <c r="R135" i="21"/>
  <c r="P135" i="21"/>
  <c r="O135" i="21"/>
  <c r="N135" i="21"/>
  <c r="M135" i="21"/>
  <c r="I135" i="21"/>
  <c r="H135" i="21"/>
  <c r="G135" i="21"/>
  <c r="F135" i="21"/>
  <c r="C135" i="21"/>
  <c r="B135" i="21"/>
  <c r="W134" i="21"/>
  <c r="V134" i="21"/>
  <c r="T134" i="21"/>
  <c r="S134" i="21"/>
  <c r="R134" i="21"/>
  <c r="P134" i="21"/>
  <c r="O134" i="21"/>
  <c r="N134" i="21"/>
  <c r="M134" i="21"/>
  <c r="I134" i="21"/>
  <c r="H134" i="21"/>
  <c r="G134" i="21"/>
  <c r="F134" i="21"/>
  <c r="C134" i="21"/>
  <c r="B134" i="21"/>
  <c r="W133" i="21"/>
  <c r="V133" i="21"/>
  <c r="T133" i="21"/>
  <c r="S133" i="21"/>
  <c r="R133" i="21"/>
  <c r="P133" i="21"/>
  <c r="O133" i="21"/>
  <c r="N133" i="21"/>
  <c r="M133" i="21"/>
  <c r="I133" i="21"/>
  <c r="H133" i="21"/>
  <c r="G133" i="21"/>
  <c r="F133" i="21"/>
  <c r="C133" i="21"/>
  <c r="B133" i="21"/>
  <c r="W132" i="21"/>
  <c r="V132" i="21"/>
  <c r="T132" i="21"/>
  <c r="S132" i="21"/>
  <c r="R132" i="21"/>
  <c r="P132" i="21"/>
  <c r="O132" i="21"/>
  <c r="N132" i="21"/>
  <c r="M132" i="21"/>
  <c r="I132" i="21"/>
  <c r="H132" i="21"/>
  <c r="G132" i="21"/>
  <c r="F132" i="21"/>
  <c r="C132" i="21"/>
  <c r="B132" i="21"/>
  <c r="W131" i="21"/>
  <c r="V131" i="21"/>
  <c r="T131" i="21"/>
  <c r="S131" i="21"/>
  <c r="R131" i="21"/>
  <c r="P131" i="21"/>
  <c r="O131" i="21"/>
  <c r="N131" i="21"/>
  <c r="M131" i="21"/>
  <c r="I131" i="21"/>
  <c r="H131" i="21"/>
  <c r="G131" i="21"/>
  <c r="F131" i="21"/>
  <c r="C131" i="21"/>
  <c r="B131" i="21"/>
  <c r="W130" i="21"/>
  <c r="V130" i="21"/>
  <c r="T130" i="21"/>
  <c r="S130" i="21"/>
  <c r="R130" i="21"/>
  <c r="P130" i="21"/>
  <c r="O130" i="21"/>
  <c r="N130" i="21"/>
  <c r="I130" i="21"/>
  <c r="H130" i="21"/>
  <c r="G130" i="21"/>
  <c r="F130" i="21"/>
  <c r="C130" i="21"/>
  <c r="B130" i="21"/>
  <c r="W129" i="21"/>
  <c r="V129" i="21"/>
  <c r="T129" i="21"/>
  <c r="S129" i="21"/>
  <c r="R129" i="21"/>
  <c r="P129" i="21"/>
  <c r="O129" i="21"/>
  <c r="N129" i="21"/>
  <c r="M129" i="21"/>
  <c r="I129" i="21"/>
  <c r="H129" i="21"/>
  <c r="G129" i="21"/>
  <c r="F129" i="21"/>
  <c r="C129" i="21"/>
  <c r="B129" i="21"/>
  <c r="W128" i="21"/>
  <c r="V128" i="21"/>
  <c r="T128" i="21"/>
  <c r="S128" i="21"/>
  <c r="R128" i="21"/>
  <c r="P128" i="21"/>
  <c r="O128" i="21"/>
  <c r="N128" i="21"/>
  <c r="M128" i="21"/>
  <c r="I128" i="21"/>
  <c r="H128" i="21"/>
  <c r="G128" i="21"/>
  <c r="F128" i="21"/>
  <c r="C128" i="21"/>
  <c r="B128" i="21"/>
  <c r="W127" i="21"/>
  <c r="V127" i="21"/>
  <c r="T127" i="21"/>
  <c r="S127" i="21"/>
  <c r="R127" i="21"/>
  <c r="P127" i="21"/>
  <c r="O127" i="21"/>
  <c r="N127" i="21"/>
  <c r="M127" i="21"/>
  <c r="I127" i="21"/>
  <c r="H127" i="21"/>
  <c r="G127" i="21"/>
  <c r="F127" i="21"/>
  <c r="C127" i="21"/>
  <c r="B127" i="21"/>
  <c r="W126" i="21"/>
  <c r="V126" i="21"/>
  <c r="T126" i="21"/>
  <c r="S126" i="21"/>
  <c r="R126" i="21"/>
  <c r="P126" i="21"/>
  <c r="O126" i="21"/>
  <c r="N126" i="21"/>
  <c r="M126" i="21"/>
  <c r="I126" i="21"/>
  <c r="H126" i="21"/>
  <c r="G126" i="21"/>
  <c r="F126" i="21"/>
  <c r="C126" i="21"/>
  <c r="B126" i="21"/>
  <c r="W125" i="21"/>
  <c r="V125" i="21"/>
  <c r="T125" i="21"/>
  <c r="S125" i="21"/>
  <c r="R125" i="21"/>
  <c r="P125" i="21"/>
  <c r="O125" i="21"/>
  <c r="N125" i="21"/>
  <c r="M125" i="21"/>
  <c r="I125" i="21"/>
  <c r="H125" i="21"/>
  <c r="G125" i="21"/>
  <c r="F125" i="21"/>
  <c r="C125" i="21"/>
  <c r="B125" i="21"/>
  <c r="W124" i="21"/>
  <c r="V124" i="21"/>
  <c r="T124" i="21"/>
  <c r="S124" i="21"/>
  <c r="R124" i="21"/>
  <c r="P124" i="21"/>
  <c r="O124" i="21"/>
  <c r="N124" i="21"/>
  <c r="M124" i="21"/>
  <c r="I124" i="21"/>
  <c r="H124" i="21"/>
  <c r="G124" i="21"/>
  <c r="F124" i="21"/>
  <c r="C124" i="21"/>
  <c r="B124" i="21"/>
  <c r="W123" i="21"/>
  <c r="V123" i="21"/>
  <c r="T123" i="21"/>
  <c r="S123" i="21"/>
  <c r="R123" i="21"/>
  <c r="P123" i="21"/>
  <c r="O123" i="21"/>
  <c r="N123" i="21"/>
  <c r="M123" i="21"/>
  <c r="I123" i="21"/>
  <c r="H123" i="21"/>
  <c r="G123" i="21"/>
  <c r="F123" i="21"/>
  <c r="C123" i="21"/>
  <c r="B123" i="21"/>
  <c r="W122" i="21"/>
  <c r="V122" i="21"/>
  <c r="T122" i="21"/>
  <c r="S122" i="21"/>
  <c r="R122" i="21"/>
  <c r="P122" i="21"/>
  <c r="O122" i="21"/>
  <c r="N122" i="21"/>
  <c r="M122" i="21"/>
  <c r="I122" i="21"/>
  <c r="H122" i="21"/>
  <c r="G122" i="21"/>
  <c r="F122" i="21"/>
  <c r="C122" i="21"/>
  <c r="B122" i="21"/>
  <c r="W121" i="21"/>
  <c r="V121" i="21"/>
  <c r="T121" i="21"/>
  <c r="S121" i="21"/>
  <c r="R121" i="21"/>
  <c r="P121" i="21"/>
  <c r="O121" i="21"/>
  <c r="N121" i="21"/>
  <c r="M121" i="21"/>
  <c r="I121" i="21"/>
  <c r="H121" i="21"/>
  <c r="G121" i="21"/>
  <c r="F121" i="21"/>
  <c r="C121" i="21"/>
  <c r="B121" i="21"/>
  <c r="W120" i="21"/>
  <c r="V120" i="21"/>
  <c r="T120" i="21"/>
  <c r="S120" i="21"/>
  <c r="R120" i="21"/>
  <c r="P120" i="21"/>
  <c r="O120" i="21"/>
  <c r="N120" i="21"/>
  <c r="I120" i="21"/>
  <c r="H120" i="21"/>
  <c r="G120" i="21"/>
  <c r="F120" i="21"/>
  <c r="C120" i="21"/>
  <c r="B120" i="21"/>
  <c r="W119" i="21"/>
  <c r="V119" i="21"/>
  <c r="T119" i="21"/>
  <c r="S119" i="21"/>
  <c r="R119" i="21"/>
  <c r="P119" i="21"/>
  <c r="O119" i="21"/>
  <c r="N119" i="21"/>
  <c r="M119" i="21"/>
  <c r="I119" i="21"/>
  <c r="H119" i="21"/>
  <c r="G119" i="21"/>
  <c r="F119" i="21"/>
  <c r="C119" i="21"/>
  <c r="B119" i="21"/>
  <c r="W118" i="21"/>
  <c r="V118" i="21"/>
  <c r="T118" i="21"/>
  <c r="S118" i="21"/>
  <c r="R118" i="21"/>
  <c r="P118" i="21"/>
  <c r="O118" i="21"/>
  <c r="N118" i="21"/>
  <c r="M118" i="21"/>
  <c r="I118" i="21"/>
  <c r="H118" i="21"/>
  <c r="G118" i="21"/>
  <c r="F118" i="21"/>
  <c r="C118" i="21"/>
  <c r="B118" i="21"/>
  <c r="W117" i="21"/>
  <c r="V117" i="21"/>
  <c r="T117" i="21"/>
  <c r="S117" i="21"/>
  <c r="R117" i="21"/>
  <c r="P117" i="21"/>
  <c r="O117" i="21"/>
  <c r="N117" i="21"/>
  <c r="M117" i="21"/>
  <c r="I117" i="21"/>
  <c r="H117" i="21"/>
  <c r="G117" i="21"/>
  <c r="F117" i="21"/>
  <c r="C117" i="21"/>
  <c r="B117" i="21"/>
  <c r="W116" i="21"/>
  <c r="V116" i="21"/>
  <c r="T116" i="21"/>
  <c r="S116" i="21"/>
  <c r="R116" i="21"/>
  <c r="P116" i="21"/>
  <c r="O116" i="21"/>
  <c r="N116" i="21"/>
  <c r="M116" i="21"/>
  <c r="I116" i="21"/>
  <c r="H116" i="21"/>
  <c r="G116" i="21"/>
  <c r="F116" i="21"/>
  <c r="C116" i="21"/>
  <c r="B116" i="21"/>
  <c r="W115" i="21"/>
  <c r="V115" i="21"/>
  <c r="T115" i="21"/>
  <c r="S115" i="21"/>
  <c r="R115" i="21"/>
  <c r="P115" i="21"/>
  <c r="O115" i="21"/>
  <c r="N115" i="21"/>
  <c r="M115" i="21"/>
  <c r="I115" i="21"/>
  <c r="H115" i="21"/>
  <c r="G115" i="21"/>
  <c r="F115" i="21"/>
  <c r="C115" i="21"/>
  <c r="B115" i="21"/>
  <c r="W114" i="21"/>
  <c r="V114" i="21"/>
  <c r="T114" i="21"/>
  <c r="S114" i="21"/>
  <c r="R114" i="21"/>
  <c r="P114" i="21"/>
  <c r="O114" i="21"/>
  <c r="N114" i="21"/>
  <c r="M114" i="21"/>
  <c r="I114" i="21"/>
  <c r="H114" i="21"/>
  <c r="G114" i="21"/>
  <c r="F114" i="21"/>
  <c r="C114" i="21"/>
  <c r="B114" i="21"/>
  <c r="W113" i="21"/>
  <c r="V113" i="21"/>
  <c r="T113" i="21"/>
  <c r="S113" i="21"/>
  <c r="R113" i="21"/>
  <c r="P113" i="21"/>
  <c r="O113" i="21"/>
  <c r="N113" i="21"/>
  <c r="M113" i="21"/>
  <c r="I113" i="21"/>
  <c r="H113" i="21"/>
  <c r="G113" i="21"/>
  <c r="F113" i="21"/>
  <c r="C113" i="21"/>
  <c r="B113" i="21"/>
  <c r="W112" i="21"/>
  <c r="V112" i="21"/>
  <c r="T112" i="21"/>
  <c r="S112" i="21"/>
  <c r="R112" i="21"/>
  <c r="P112" i="21"/>
  <c r="O112" i="21"/>
  <c r="N112" i="21"/>
  <c r="M112" i="21"/>
  <c r="I112" i="21"/>
  <c r="H112" i="21"/>
  <c r="G112" i="21"/>
  <c r="F112" i="21"/>
  <c r="C112" i="21"/>
  <c r="B112" i="21"/>
  <c r="W111" i="21"/>
  <c r="V111" i="21"/>
  <c r="T111" i="21"/>
  <c r="S111" i="21"/>
  <c r="R111" i="21"/>
  <c r="P111" i="21"/>
  <c r="O111" i="21"/>
  <c r="N111" i="21"/>
  <c r="M111" i="21"/>
  <c r="I111" i="21"/>
  <c r="H111" i="21"/>
  <c r="G111" i="21"/>
  <c r="F111" i="21"/>
  <c r="C111" i="21"/>
  <c r="B111" i="21"/>
  <c r="W110" i="21"/>
  <c r="V110" i="21"/>
  <c r="T110" i="21"/>
  <c r="S110" i="21"/>
  <c r="R110" i="21"/>
  <c r="P110" i="21"/>
  <c r="O110" i="21"/>
  <c r="N110" i="21"/>
  <c r="I110" i="21"/>
  <c r="H110" i="21"/>
  <c r="G110" i="21"/>
  <c r="F110" i="21"/>
  <c r="C110" i="21"/>
  <c r="B110" i="21"/>
  <c r="W109" i="21"/>
  <c r="V109" i="21"/>
  <c r="T109" i="21"/>
  <c r="S109" i="21"/>
  <c r="R109" i="21"/>
  <c r="P109" i="21"/>
  <c r="O109" i="21"/>
  <c r="N109" i="21"/>
  <c r="M109" i="21"/>
  <c r="I109" i="21"/>
  <c r="H109" i="21"/>
  <c r="G109" i="21"/>
  <c r="F109" i="21"/>
  <c r="C109" i="21"/>
  <c r="B109" i="21"/>
  <c r="W108" i="21"/>
  <c r="V108" i="21"/>
  <c r="T108" i="21"/>
  <c r="S108" i="21"/>
  <c r="R108" i="21"/>
  <c r="P108" i="21"/>
  <c r="O108" i="21"/>
  <c r="N108" i="21"/>
  <c r="M108" i="21"/>
  <c r="I108" i="21"/>
  <c r="H108" i="21"/>
  <c r="G108" i="21"/>
  <c r="F108" i="21"/>
  <c r="C108" i="21"/>
  <c r="B108" i="21"/>
  <c r="W107" i="21"/>
  <c r="V107" i="21"/>
  <c r="T107" i="21"/>
  <c r="S107" i="21"/>
  <c r="R107" i="21"/>
  <c r="P107" i="21"/>
  <c r="O107" i="21"/>
  <c r="N107" i="21"/>
  <c r="M107" i="21"/>
  <c r="I107" i="21"/>
  <c r="H107" i="21"/>
  <c r="G107" i="21"/>
  <c r="F107" i="21"/>
  <c r="C107" i="21"/>
  <c r="B107" i="21"/>
  <c r="W106" i="21"/>
  <c r="V106" i="21"/>
  <c r="T106" i="21"/>
  <c r="S106" i="21"/>
  <c r="R106" i="21"/>
  <c r="P106" i="21"/>
  <c r="O106" i="21"/>
  <c r="N106" i="21"/>
  <c r="M106" i="21"/>
  <c r="I106" i="21"/>
  <c r="H106" i="21"/>
  <c r="G106" i="21"/>
  <c r="F106" i="21"/>
  <c r="C106" i="21"/>
  <c r="B106" i="21"/>
  <c r="W105" i="21"/>
  <c r="V105" i="21"/>
  <c r="T105" i="21"/>
  <c r="S105" i="21"/>
  <c r="R105" i="21"/>
  <c r="P105" i="21"/>
  <c r="O105" i="21"/>
  <c r="N105" i="21"/>
  <c r="M105" i="21"/>
  <c r="I105" i="21"/>
  <c r="H105" i="21"/>
  <c r="G105" i="21"/>
  <c r="F105" i="21"/>
  <c r="C105" i="21"/>
  <c r="B105" i="21"/>
  <c r="W104" i="21"/>
  <c r="V104" i="21"/>
  <c r="T104" i="21"/>
  <c r="S104" i="21"/>
  <c r="R104" i="21"/>
  <c r="P104" i="21"/>
  <c r="O104" i="21"/>
  <c r="N104" i="21"/>
  <c r="M104" i="21"/>
  <c r="I104" i="21"/>
  <c r="H104" i="21"/>
  <c r="G104" i="21"/>
  <c r="F104" i="21"/>
  <c r="C104" i="21"/>
  <c r="B104" i="21"/>
  <c r="W103" i="21"/>
  <c r="V103" i="21"/>
  <c r="T103" i="21"/>
  <c r="S103" i="21"/>
  <c r="R103" i="21"/>
  <c r="P103" i="21"/>
  <c r="O103" i="21"/>
  <c r="N103" i="21"/>
  <c r="M103" i="21"/>
  <c r="I103" i="21"/>
  <c r="H103" i="21"/>
  <c r="G103" i="21"/>
  <c r="F103" i="21"/>
  <c r="C103" i="21"/>
  <c r="B103" i="21"/>
  <c r="W102" i="21"/>
  <c r="V102" i="21"/>
  <c r="T102" i="21"/>
  <c r="S102" i="21"/>
  <c r="R102" i="21"/>
  <c r="P102" i="21"/>
  <c r="O102" i="21"/>
  <c r="N102" i="21"/>
  <c r="M102" i="21"/>
  <c r="I102" i="21"/>
  <c r="H102" i="21"/>
  <c r="G102" i="21"/>
  <c r="F102" i="21"/>
  <c r="C102" i="21"/>
  <c r="B102" i="21"/>
  <c r="W101" i="21"/>
  <c r="V101" i="21"/>
  <c r="T101" i="21"/>
  <c r="S101" i="21"/>
  <c r="R101" i="21"/>
  <c r="P101" i="21"/>
  <c r="O101" i="21"/>
  <c r="N101" i="21"/>
  <c r="M101" i="21"/>
  <c r="I101" i="21"/>
  <c r="H101" i="21"/>
  <c r="G101" i="21"/>
  <c r="F101" i="21"/>
  <c r="C101" i="21"/>
  <c r="B101" i="21"/>
  <c r="W100" i="21"/>
  <c r="V100" i="21"/>
  <c r="T100" i="21"/>
  <c r="S100" i="21"/>
  <c r="R100" i="21"/>
  <c r="P100" i="21"/>
  <c r="O100" i="21"/>
  <c r="N100" i="21"/>
  <c r="I100" i="21"/>
  <c r="H100" i="21"/>
  <c r="G100" i="21"/>
  <c r="F100" i="21"/>
  <c r="C100" i="21"/>
  <c r="B100" i="21"/>
  <c r="W99" i="21"/>
  <c r="V99" i="21"/>
  <c r="T99" i="21"/>
  <c r="S99" i="21"/>
  <c r="R99" i="21"/>
  <c r="P99" i="21"/>
  <c r="O99" i="21"/>
  <c r="N99" i="21"/>
  <c r="M99" i="21"/>
  <c r="I99" i="21"/>
  <c r="H99" i="21"/>
  <c r="G99" i="21"/>
  <c r="F99" i="21"/>
  <c r="C99" i="21"/>
  <c r="B99" i="21"/>
  <c r="W98" i="21"/>
  <c r="V98" i="21"/>
  <c r="T98" i="21"/>
  <c r="S98" i="21"/>
  <c r="R98" i="21"/>
  <c r="P98" i="21"/>
  <c r="O98" i="21"/>
  <c r="N98" i="21"/>
  <c r="M98" i="21"/>
  <c r="I98" i="21"/>
  <c r="H98" i="21"/>
  <c r="G98" i="21"/>
  <c r="F98" i="21"/>
  <c r="C98" i="21"/>
  <c r="B98" i="21"/>
  <c r="W97" i="21"/>
  <c r="V97" i="21"/>
  <c r="T97" i="21"/>
  <c r="S97" i="21"/>
  <c r="R97" i="21"/>
  <c r="P97" i="21"/>
  <c r="O97" i="21"/>
  <c r="N97" i="21"/>
  <c r="M97" i="21"/>
  <c r="I97" i="21"/>
  <c r="H97" i="21"/>
  <c r="G97" i="21"/>
  <c r="F97" i="21"/>
  <c r="C97" i="21"/>
  <c r="B97" i="21"/>
  <c r="W96" i="21"/>
  <c r="V96" i="21"/>
  <c r="T96" i="21"/>
  <c r="S96" i="21"/>
  <c r="R96" i="21"/>
  <c r="P96" i="21"/>
  <c r="O96" i="21"/>
  <c r="N96" i="21"/>
  <c r="M96" i="21"/>
  <c r="I96" i="21"/>
  <c r="H96" i="21"/>
  <c r="G96" i="21"/>
  <c r="F96" i="21"/>
  <c r="C96" i="21"/>
  <c r="B96" i="21"/>
  <c r="W95" i="21"/>
  <c r="V95" i="21"/>
  <c r="T95" i="21"/>
  <c r="S95" i="21"/>
  <c r="R95" i="21"/>
  <c r="P95" i="21"/>
  <c r="O95" i="21"/>
  <c r="N95" i="21"/>
  <c r="M95" i="21"/>
  <c r="I95" i="21"/>
  <c r="H95" i="21"/>
  <c r="G95" i="21"/>
  <c r="F95" i="21"/>
  <c r="C95" i="21"/>
  <c r="B95" i="21"/>
  <c r="W94" i="21"/>
  <c r="V94" i="21"/>
  <c r="T94" i="21"/>
  <c r="S94" i="21"/>
  <c r="R94" i="21"/>
  <c r="P94" i="21"/>
  <c r="O94" i="21"/>
  <c r="N94" i="21"/>
  <c r="M94" i="21"/>
  <c r="I94" i="21"/>
  <c r="H94" i="21"/>
  <c r="G94" i="21"/>
  <c r="F94" i="21"/>
  <c r="C94" i="21"/>
  <c r="B94" i="21"/>
  <c r="W93" i="21"/>
  <c r="V93" i="21"/>
  <c r="T93" i="21"/>
  <c r="S93" i="21"/>
  <c r="R93" i="21"/>
  <c r="P93" i="21"/>
  <c r="O93" i="21"/>
  <c r="N93" i="21"/>
  <c r="M93" i="21"/>
  <c r="I93" i="21"/>
  <c r="H93" i="21"/>
  <c r="G93" i="21"/>
  <c r="F93" i="21"/>
  <c r="C93" i="21"/>
  <c r="B93" i="21"/>
  <c r="W92" i="21"/>
  <c r="V92" i="21"/>
  <c r="T92" i="21"/>
  <c r="S92" i="21"/>
  <c r="R92" i="21"/>
  <c r="P92" i="21"/>
  <c r="O92" i="21"/>
  <c r="N92" i="21"/>
  <c r="M92" i="21"/>
  <c r="I92" i="21"/>
  <c r="H92" i="21"/>
  <c r="G92" i="21"/>
  <c r="F92" i="21"/>
  <c r="C92" i="21"/>
  <c r="B92" i="21"/>
  <c r="W91" i="21"/>
  <c r="V91" i="21"/>
  <c r="T91" i="21"/>
  <c r="S91" i="21"/>
  <c r="R91" i="21"/>
  <c r="P91" i="21"/>
  <c r="O91" i="21"/>
  <c r="N91" i="21"/>
  <c r="M91" i="21"/>
  <c r="I91" i="21"/>
  <c r="H91" i="21"/>
  <c r="G91" i="21"/>
  <c r="F91" i="21"/>
  <c r="C91" i="21"/>
  <c r="B91" i="21"/>
  <c r="W90" i="21"/>
  <c r="V90" i="21"/>
  <c r="T90" i="21"/>
  <c r="S90" i="21"/>
  <c r="R90" i="21"/>
  <c r="P90" i="21"/>
  <c r="O90" i="21"/>
  <c r="N90" i="21"/>
  <c r="I90" i="21"/>
  <c r="H90" i="21"/>
  <c r="G90" i="21"/>
  <c r="F90" i="21"/>
  <c r="C90" i="21"/>
  <c r="B90" i="21"/>
  <c r="W89" i="21"/>
  <c r="V89" i="21"/>
  <c r="T89" i="21"/>
  <c r="S89" i="21"/>
  <c r="R89" i="21"/>
  <c r="P89" i="21"/>
  <c r="O89" i="21"/>
  <c r="N89" i="21"/>
  <c r="M89" i="21"/>
  <c r="I89" i="21"/>
  <c r="H89" i="21"/>
  <c r="G89" i="21"/>
  <c r="F89" i="21"/>
  <c r="C89" i="21"/>
  <c r="B89" i="21"/>
  <c r="W88" i="21"/>
  <c r="V88" i="21"/>
  <c r="T88" i="21"/>
  <c r="S88" i="21"/>
  <c r="R88" i="21"/>
  <c r="P88" i="21"/>
  <c r="O88" i="21"/>
  <c r="N88" i="21"/>
  <c r="M88" i="21"/>
  <c r="I88" i="21"/>
  <c r="H88" i="21"/>
  <c r="G88" i="21"/>
  <c r="F88" i="21"/>
  <c r="C88" i="21"/>
  <c r="B88" i="21"/>
  <c r="W87" i="21"/>
  <c r="V87" i="21"/>
  <c r="T87" i="21"/>
  <c r="S87" i="21"/>
  <c r="R87" i="21"/>
  <c r="P87" i="21"/>
  <c r="O87" i="21"/>
  <c r="N87" i="21"/>
  <c r="M87" i="21"/>
  <c r="I87" i="21"/>
  <c r="H87" i="21"/>
  <c r="G87" i="21"/>
  <c r="F87" i="21"/>
  <c r="C87" i="21"/>
  <c r="B87" i="21"/>
  <c r="W86" i="21"/>
  <c r="V86" i="21"/>
  <c r="T86" i="21"/>
  <c r="S86" i="21"/>
  <c r="R86" i="21"/>
  <c r="P86" i="21"/>
  <c r="O86" i="21"/>
  <c r="N86" i="21"/>
  <c r="M86" i="21"/>
  <c r="I86" i="21"/>
  <c r="H86" i="21"/>
  <c r="G86" i="21"/>
  <c r="F86" i="21"/>
  <c r="C86" i="21"/>
  <c r="B86" i="21"/>
  <c r="W85" i="21"/>
  <c r="V85" i="21"/>
  <c r="T85" i="21"/>
  <c r="S85" i="21"/>
  <c r="R85" i="21"/>
  <c r="P85" i="21"/>
  <c r="O85" i="21"/>
  <c r="N85" i="21"/>
  <c r="M85" i="21"/>
  <c r="I85" i="21"/>
  <c r="H85" i="21"/>
  <c r="G85" i="21"/>
  <c r="F85" i="21"/>
  <c r="C85" i="21"/>
  <c r="B85" i="21"/>
  <c r="W84" i="21"/>
  <c r="V84" i="21"/>
  <c r="T84" i="21"/>
  <c r="S84" i="21"/>
  <c r="R84" i="21"/>
  <c r="P84" i="21"/>
  <c r="O84" i="21"/>
  <c r="N84" i="21"/>
  <c r="M84" i="21"/>
  <c r="I84" i="21"/>
  <c r="H84" i="21"/>
  <c r="G84" i="21"/>
  <c r="F84" i="21"/>
  <c r="C84" i="21"/>
  <c r="B84" i="21"/>
  <c r="W83" i="21"/>
  <c r="V83" i="21"/>
  <c r="T83" i="21"/>
  <c r="S83" i="21"/>
  <c r="R83" i="21"/>
  <c r="P83" i="21"/>
  <c r="O83" i="21"/>
  <c r="N83" i="21"/>
  <c r="M83" i="21"/>
  <c r="I83" i="21"/>
  <c r="H83" i="21"/>
  <c r="G83" i="21"/>
  <c r="F83" i="21"/>
  <c r="C83" i="21"/>
  <c r="B83" i="21"/>
  <c r="W82" i="21"/>
  <c r="V82" i="21"/>
  <c r="T82" i="21"/>
  <c r="S82" i="21"/>
  <c r="R82" i="21"/>
  <c r="P82" i="21"/>
  <c r="O82" i="21"/>
  <c r="N82" i="21"/>
  <c r="M82" i="21"/>
  <c r="I82" i="21"/>
  <c r="H82" i="21"/>
  <c r="G82" i="21"/>
  <c r="F82" i="21"/>
  <c r="C82" i="21"/>
  <c r="B82" i="21"/>
  <c r="W81" i="21"/>
  <c r="V81" i="21"/>
  <c r="T81" i="21"/>
  <c r="S81" i="21"/>
  <c r="R81" i="21"/>
  <c r="P81" i="21"/>
  <c r="O81" i="21"/>
  <c r="N81" i="21"/>
  <c r="M81" i="21"/>
  <c r="I81" i="21"/>
  <c r="H81" i="21"/>
  <c r="G81" i="21"/>
  <c r="F81" i="21"/>
  <c r="C81" i="21"/>
  <c r="B81" i="21"/>
  <c r="W80" i="21"/>
  <c r="V80" i="21"/>
  <c r="T80" i="21"/>
  <c r="S80" i="21"/>
  <c r="R80" i="21"/>
  <c r="P80" i="21"/>
  <c r="O80" i="21"/>
  <c r="N80" i="21"/>
  <c r="I80" i="21"/>
  <c r="H80" i="21"/>
  <c r="G80" i="21"/>
  <c r="F80" i="21"/>
  <c r="C80" i="21"/>
  <c r="B80" i="21"/>
  <c r="W79" i="21"/>
  <c r="V79" i="21"/>
  <c r="T79" i="21"/>
  <c r="S79" i="21"/>
  <c r="R79" i="21"/>
  <c r="P79" i="21"/>
  <c r="O79" i="21"/>
  <c r="N79" i="21"/>
  <c r="M79" i="21"/>
  <c r="I79" i="21"/>
  <c r="H79" i="21"/>
  <c r="G79" i="21"/>
  <c r="F79" i="21"/>
  <c r="C79" i="21"/>
  <c r="B79" i="21"/>
  <c r="W78" i="21"/>
  <c r="V78" i="21"/>
  <c r="T78" i="21"/>
  <c r="S78" i="21"/>
  <c r="R78" i="21"/>
  <c r="P78" i="21"/>
  <c r="O78" i="21"/>
  <c r="N78" i="21"/>
  <c r="M78" i="21"/>
  <c r="I78" i="21"/>
  <c r="H78" i="21"/>
  <c r="G78" i="21"/>
  <c r="F78" i="21"/>
  <c r="C78" i="21"/>
  <c r="B78" i="21"/>
  <c r="W77" i="21"/>
  <c r="V77" i="21"/>
  <c r="T77" i="21"/>
  <c r="S77" i="21"/>
  <c r="R77" i="21"/>
  <c r="P77" i="21"/>
  <c r="O77" i="21"/>
  <c r="N77" i="21"/>
  <c r="M77" i="21"/>
  <c r="I77" i="21"/>
  <c r="H77" i="21"/>
  <c r="G77" i="21"/>
  <c r="F77" i="21"/>
  <c r="C77" i="21"/>
  <c r="B77" i="21"/>
  <c r="W76" i="21"/>
  <c r="V76" i="21"/>
  <c r="T76" i="21"/>
  <c r="S76" i="21"/>
  <c r="R76" i="21"/>
  <c r="P76" i="21"/>
  <c r="O76" i="21"/>
  <c r="N76" i="21"/>
  <c r="M76" i="21"/>
  <c r="I76" i="21"/>
  <c r="H76" i="21"/>
  <c r="G76" i="21"/>
  <c r="F76" i="21"/>
  <c r="C76" i="21"/>
  <c r="B76" i="21"/>
  <c r="W75" i="21"/>
  <c r="V75" i="21"/>
  <c r="T75" i="21"/>
  <c r="S75" i="21"/>
  <c r="R75" i="21"/>
  <c r="P75" i="21"/>
  <c r="O75" i="21"/>
  <c r="N75" i="21"/>
  <c r="M75" i="21"/>
  <c r="I75" i="21"/>
  <c r="H75" i="21"/>
  <c r="G75" i="21"/>
  <c r="F75" i="21"/>
  <c r="C75" i="21"/>
  <c r="B75" i="21"/>
  <c r="W74" i="21"/>
  <c r="V74" i="21"/>
  <c r="T74" i="21"/>
  <c r="S74" i="21"/>
  <c r="R74" i="21"/>
  <c r="P74" i="21"/>
  <c r="O74" i="21"/>
  <c r="N74" i="21"/>
  <c r="M74" i="21"/>
  <c r="I74" i="21"/>
  <c r="H74" i="21"/>
  <c r="G74" i="21"/>
  <c r="F74" i="21"/>
  <c r="C74" i="21"/>
  <c r="B74" i="21"/>
  <c r="W73" i="21"/>
  <c r="V73" i="21"/>
  <c r="T73" i="21"/>
  <c r="S73" i="21"/>
  <c r="R73" i="21"/>
  <c r="P73" i="21"/>
  <c r="O73" i="21"/>
  <c r="N73" i="21"/>
  <c r="M73" i="21"/>
  <c r="I73" i="21"/>
  <c r="H73" i="21"/>
  <c r="G73" i="21"/>
  <c r="F73" i="21"/>
  <c r="C73" i="21"/>
  <c r="B73" i="21"/>
  <c r="W72" i="21"/>
  <c r="V72" i="21"/>
  <c r="T72" i="21"/>
  <c r="S72" i="21"/>
  <c r="R72" i="21"/>
  <c r="P72" i="21"/>
  <c r="O72" i="21"/>
  <c r="N72" i="21"/>
  <c r="M72" i="21"/>
  <c r="I72" i="21"/>
  <c r="H72" i="21"/>
  <c r="G72" i="21"/>
  <c r="F72" i="21"/>
  <c r="C72" i="21"/>
  <c r="B72" i="21"/>
  <c r="W71" i="21"/>
  <c r="V71" i="21"/>
  <c r="T71" i="21"/>
  <c r="S71" i="21"/>
  <c r="R71" i="21"/>
  <c r="P71" i="21"/>
  <c r="O71" i="21"/>
  <c r="N71" i="21"/>
  <c r="M71" i="21"/>
  <c r="I71" i="21"/>
  <c r="H71" i="21"/>
  <c r="G71" i="21"/>
  <c r="F71" i="21"/>
  <c r="C71" i="21"/>
  <c r="B71" i="21"/>
  <c r="W70" i="21"/>
  <c r="V70" i="21"/>
  <c r="T70" i="21"/>
  <c r="S70" i="21"/>
  <c r="R70" i="21"/>
  <c r="P70" i="21"/>
  <c r="O70" i="21"/>
  <c r="N70" i="21"/>
  <c r="I70" i="21"/>
  <c r="H70" i="21"/>
  <c r="G70" i="21"/>
  <c r="F70" i="21"/>
  <c r="C70" i="21"/>
  <c r="B70" i="21"/>
  <c r="W69" i="21"/>
  <c r="V69" i="21"/>
  <c r="T69" i="21"/>
  <c r="S69" i="21"/>
  <c r="R69" i="21"/>
  <c r="P69" i="21"/>
  <c r="O69" i="21"/>
  <c r="N69" i="21"/>
  <c r="M69" i="21"/>
  <c r="I69" i="21"/>
  <c r="H69" i="21"/>
  <c r="G69" i="21"/>
  <c r="F69" i="21"/>
  <c r="C69" i="21"/>
  <c r="B69" i="21"/>
  <c r="W68" i="21"/>
  <c r="V68" i="21"/>
  <c r="T68" i="21"/>
  <c r="S68" i="21"/>
  <c r="R68" i="21"/>
  <c r="P68" i="21"/>
  <c r="O68" i="21"/>
  <c r="N68" i="21"/>
  <c r="M68" i="21"/>
  <c r="I68" i="21"/>
  <c r="H68" i="21"/>
  <c r="G68" i="21"/>
  <c r="F68" i="21"/>
  <c r="C68" i="21"/>
  <c r="B68" i="21"/>
  <c r="W67" i="21"/>
  <c r="V67" i="21"/>
  <c r="T67" i="21"/>
  <c r="S67" i="21"/>
  <c r="R67" i="21"/>
  <c r="P67" i="21"/>
  <c r="O67" i="21"/>
  <c r="N67" i="21"/>
  <c r="M67" i="21"/>
  <c r="I67" i="21"/>
  <c r="H67" i="21"/>
  <c r="G67" i="21"/>
  <c r="F67" i="21"/>
  <c r="C67" i="21"/>
  <c r="B67" i="21"/>
  <c r="W66" i="21"/>
  <c r="V66" i="21"/>
  <c r="T66" i="21"/>
  <c r="S66" i="21"/>
  <c r="R66" i="21"/>
  <c r="P66" i="21"/>
  <c r="O66" i="21"/>
  <c r="N66" i="21"/>
  <c r="M66" i="21"/>
  <c r="I66" i="21"/>
  <c r="H66" i="21"/>
  <c r="G66" i="21"/>
  <c r="F66" i="21"/>
  <c r="C66" i="21"/>
  <c r="B66" i="21"/>
  <c r="W65" i="21"/>
  <c r="V65" i="21"/>
  <c r="T65" i="21"/>
  <c r="S65" i="21"/>
  <c r="R65" i="21"/>
  <c r="P65" i="21"/>
  <c r="O65" i="21"/>
  <c r="N65" i="21"/>
  <c r="M65" i="21"/>
  <c r="I65" i="21"/>
  <c r="H65" i="21"/>
  <c r="G65" i="21"/>
  <c r="F65" i="21"/>
  <c r="C65" i="21"/>
  <c r="B65" i="21"/>
  <c r="W64" i="21"/>
  <c r="V64" i="21"/>
  <c r="T64" i="21"/>
  <c r="S64" i="21"/>
  <c r="R64" i="21"/>
  <c r="P64" i="21"/>
  <c r="O64" i="21"/>
  <c r="N64" i="21"/>
  <c r="M64" i="21"/>
  <c r="I64" i="21"/>
  <c r="H64" i="21"/>
  <c r="G64" i="21"/>
  <c r="F64" i="21"/>
  <c r="C64" i="21"/>
  <c r="B64" i="21"/>
  <c r="W63" i="21"/>
  <c r="V63" i="21"/>
  <c r="T63" i="21"/>
  <c r="S63" i="21"/>
  <c r="R63" i="21"/>
  <c r="P63" i="21"/>
  <c r="O63" i="21"/>
  <c r="N63" i="21"/>
  <c r="M63" i="21"/>
  <c r="I63" i="21"/>
  <c r="H63" i="21"/>
  <c r="G63" i="21"/>
  <c r="F63" i="21"/>
  <c r="C63" i="21"/>
  <c r="B63" i="21"/>
  <c r="W62" i="21"/>
  <c r="V62" i="21"/>
  <c r="T62" i="21"/>
  <c r="S62" i="21"/>
  <c r="R62" i="21"/>
  <c r="P62" i="21"/>
  <c r="O62" i="21"/>
  <c r="N62" i="21"/>
  <c r="M62" i="21"/>
  <c r="I62" i="21"/>
  <c r="H62" i="21"/>
  <c r="G62" i="21"/>
  <c r="F62" i="21"/>
  <c r="C62" i="21"/>
  <c r="B62" i="21"/>
  <c r="W61" i="21"/>
  <c r="V61" i="21"/>
  <c r="T61" i="21"/>
  <c r="S61" i="21"/>
  <c r="R61" i="21"/>
  <c r="P61" i="21"/>
  <c r="O61" i="21"/>
  <c r="N61" i="21"/>
  <c r="M61" i="21"/>
  <c r="I61" i="21"/>
  <c r="H61" i="21"/>
  <c r="G61" i="21"/>
  <c r="F61" i="21"/>
  <c r="C61" i="21"/>
  <c r="B61" i="21"/>
  <c r="W60" i="21"/>
  <c r="V60" i="21"/>
  <c r="T60" i="21"/>
  <c r="S60" i="21"/>
  <c r="R60" i="21"/>
  <c r="P60" i="21"/>
  <c r="O60" i="21"/>
  <c r="N60" i="21"/>
  <c r="I60" i="21"/>
  <c r="H60" i="21"/>
  <c r="G60" i="21"/>
  <c r="F60" i="21"/>
  <c r="C60" i="21"/>
  <c r="B60" i="21"/>
  <c r="W59" i="21"/>
  <c r="V59" i="21"/>
  <c r="T59" i="21"/>
  <c r="S59" i="21"/>
  <c r="R59" i="21"/>
  <c r="P59" i="21"/>
  <c r="O59" i="21"/>
  <c r="N59" i="21"/>
  <c r="M59" i="21"/>
  <c r="I59" i="21"/>
  <c r="H59" i="21"/>
  <c r="G59" i="21"/>
  <c r="F59" i="21"/>
  <c r="C59" i="21"/>
  <c r="B59" i="21"/>
  <c r="W58" i="21"/>
  <c r="V58" i="21"/>
  <c r="T58" i="21"/>
  <c r="S58" i="21"/>
  <c r="R58" i="21"/>
  <c r="P58" i="21"/>
  <c r="O58" i="21"/>
  <c r="N58" i="21"/>
  <c r="M58" i="21"/>
  <c r="I58" i="21"/>
  <c r="H58" i="21"/>
  <c r="G58" i="21"/>
  <c r="F58" i="21"/>
  <c r="C58" i="21"/>
  <c r="B58" i="21"/>
  <c r="W57" i="21"/>
  <c r="V57" i="21"/>
  <c r="T57" i="21"/>
  <c r="S57" i="21"/>
  <c r="R57" i="21"/>
  <c r="P57" i="21"/>
  <c r="O57" i="21"/>
  <c r="N57" i="21"/>
  <c r="M57" i="21"/>
  <c r="I57" i="21"/>
  <c r="H57" i="21"/>
  <c r="G57" i="21"/>
  <c r="F57" i="21"/>
  <c r="C57" i="21"/>
  <c r="B57" i="21"/>
  <c r="W56" i="21"/>
  <c r="V56" i="21"/>
  <c r="T56" i="21"/>
  <c r="S56" i="21"/>
  <c r="R56" i="21"/>
  <c r="P56" i="21"/>
  <c r="O56" i="21"/>
  <c r="N56" i="21"/>
  <c r="M56" i="21"/>
  <c r="I56" i="21"/>
  <c r="H56" i="21"/>
  <c r="G56" i="21"/>
  <c r="F56" i="21"/>
  <c r="C56" i="21"/>
  <c r="B56" i="21"/>
  <c r="W55" i="21"/>
  <c r="V55" i="21"/>
  <c r="T55" i="21"/>
  <c r="S55" i="21"/>
  <c r="R55" i="21"/>
  <c r="P55" i="21"/>
  <c r="O55" i="21"/>
  <c r="N55" i="21"/>
  <c r="M55" i="21"/>
  <c r="I55" i="21"/>
  <c r="H55" i="21"/>
  <c r="G55" i="21"/>
  <c r="F55" i="21"/>
  <c r="C55" i="21"/>
  <c r="B55" i="21"/>
  <c r="W54" i="21"/>
  <c r="V54" i="21"/>
  <c r="T54" i="21"/>
  <c r="S54" i="21"/>
  <c r="R54" i="21"/>
  <c r="P54" i="21"/>
  <c r="O54" i="21"/>
  <c r="N54" i="21"/>
  <c r="M54" i="21"/>
  <c r="I54" i="21"/>
  <c r="H54" i="21"/>
  <c r="G54" i="21"/>
  <c r="F54" i="21"/>
  <c r="C54" i="21"/>
  <c r="B54" i="21"/>
  <c r="W53" i="21"/>
  <c r="V53" i="21"/>
  <c r="T53" i="21"/>
  <c r="S53" i="21"/>
  <c r="R53" i="21"/>
  <c r="P53" i="21"/>
  <c r="O53" i="21"/>
  <c r="N53" i="21"/>
  <c r="M53" i="21"/>
  <c r="I53" i="21"/>
  <c r="H53" i="21"/>
  <c r="G53" i="21"/>
  <c r="F53" i="21"/>
  <c r="C53" i="21"/>
  <c r="B53" i="21"/>
  <c r="W52" i="21"/>
  <c r="V52" i="21"/>
  <c r="T52" i="21"/>
  <c r="S52" i="21"/>
  <c r="R52" i="21"/>
  <c r="P52" i="21"/>
  <c r="O52" i="21"/>
  <c r="N52" i="21"/>
  <c r="M52" i="21"/>
  <c r="I52" i="21"/>
  <c r="H52" i="21"/>
  <c r="G52" i="21"/>
  <c r="F52" i="21"/>
  <c r="C52" i="21"/>
  <c r="B52" i="21"/>
  <c r="W51" i="21"/>
  <c r="V51" i="21"/>
  <c r="T51" i="21"/>
  <c r="S51" i="21"/>
  <c r="R51" i="21"/>
  <c r="P51" i="21"/>
  <c r="O51" i="21"/>
  <c r="N51" i="21"/>
  <c r="M51" i="21"/>
  <c r="I51" i="21"/>
  <c r="H51" i="21"/>
  <c r="G51" i="21"/>
  <c r="F51" i="21"/>
  <c r="C51" i="21"/>
  <c r="B51" i="21"/>
  <c r="W50" i="21"/>
  <c r="V50" i="21"/>
  <c r="T50" i="21"/>
  <c r="S50" i="21"/>
  <c r="R50" i="21"/>
  <c r="P50" i="21"/>
  <c r="O50" i="21"/>
  <c r="N50" i="21"/>
  <c r="I50" i="21"/>
  <c r="H50" i="21"/>
  <c r="G50" i="21"/>
  <c r="F50" i="21"/>
  <c r="C50" i="21"/>
  <c r="B50" i="21"/>
  <c r="W49" i="21"/>
  <c r="V49" i="21"/>
  <c r="T49" i="21"/>
  <c r="S49" i="21"/>
  <c r="R49" i="21"/>
  <c r="P49" i="21"/>
  <c r="O49" i="21"/>
  <c r="N49" i="21"/>
  <c r="M49" i="21"/>
  <c r="I49" i="21"/>
  <c r="H49" i="21"/>
  <c r="G49" i="21"/>
  <c r="F49" i="21"/>
  <c r="C49" i="21"/>
  <c r="B49" i="21"/>
  <c r="W48" i="21"/>
  <c r="V48" i="21"/>
  <c r="T48" i="21"/>
  <c r="S48" i="21"/>
  <c r="R48" i="21"/>
  <c r="P48" i="21"/>
  <c r="O48" i="21"/>
  <c r="N48" i="21"/>
  <c r="M48" i="21"/>
  <c r="I48" i="21"/>
  <c r="H48" i="21"/>
  <c r="G48" i="21"/>
  <c r="F48" i="21"/>
  <c r="C48" i="21"/>
  <c r="B48" i="21"/>
  <c r="W47" i="21"/>
  <c r="V47" i="21"/>
  <c r="T47" i="21"/>
  <c r="S47" i="21"/>
  <c r="R47" i="21"/>
  <c r="P47" i="21"/>
  <c r="O47" i="21"/>
  <c r="N47" i="21"/>
  <c r="M47" i="21"/>
  <c r="I47" i="21"/>
  <c r="H47" i="21"/>
  <c r="G47" i="21"/>
  <c r="F47" i="21"/>
  <c r="C47" i="21"/>
  <c r="B47" i="21"/>
  <c r="W46" i="21"/>
  <c r="V46" i="21"/>
  <c r="T46" i="21"/>
  <c r="S46" i="21"/>
  <c r="R46" i="21"/>
  <c r="P46" i="21"/>
  <c r="O46" i="21"/>
  <c r="N46" i="21"/>
  <c r="M46" i="21"/>
  <c r="I46" i="21"/>
  <c r="H46" i="21"/>
  <c r="G46" i="21"/>
  <c r="F46" i="21"/>
  <c r="C46" i="21"/>
  <c r="B46" i="21"/>
  <c r="W45" i="21"/>
  <c r="V45" i="21"/>
  <c r="T45" i="21"/>
  <c r="S45" i="21"/>
  <c r="R45" i="21"/>
  <c r="P45" i="21"/>
  <c r="O45" i="21"/>
  <c r="N45" i="21"/>
  <c r="M45" i="21"/>
  <c r="I45" i="21"/>
  <c r="H45" i="21"/>
  <c r="G45" i="21"/>
  <c r="F45" i="21"/>
  <c r="C45" i="21"/>
  <c r="B45" i="21"/>
  <c r="W44" i="21"/>
  <c r="V44" i="21"/>
  <c r="T44" i="21"/>
  <c r="S44" i="21"/>
  <c r="R44" i="21"/>
  <c r="P44" i="21"/>
  <c r="O44" i="21"/>
  <c r="N44" i="21"/>
  <c r="M44" i="21"/>
  <c r="I44" i="21"/>
  <c r="H44" i="21"/>
  <c r="G44" i="21"/>
  <c r="F44" i="21"/>
  <c r="C44" i="21"/>
  <c r="B44" i="21"/>
  <c r="W43" i="21"/>
  <c r="V43" i="21"/>
  <c r="T43" i="21"/>
  <c r="S43" i="21"/>
  <c r="R43" i="21"/>
  <c r="P43" i="21"/>
  <c r="O43" i="21"/>
  <c r="N43" i="21"/>
  <c r="M43" i="21"/>
  <c r="I43" i="21"/>
  <c r="H43" i="21"/>
  <c r="G43" i="21"/>
  <c r="F43" i="21"/>
  <c r="C43" i="21"/>
  <c r="B43" i="21"/>
  <c r="W42" i="21"/>
  <c r="V42" i="21"/>
  <c r="T42" i="21"/>
  <c r="S42" i="21"/>
  <c r="R42" i="21"/>
  <c r="P42" i="21"/>
  <c r="O42" i="21"/>
  <c r="N42" i="21"/>
  <c r="M42" i="21"/>
  <c r="I42" i="21"/>
  <c r="H42" i="21"/>
  <c r="G42" i="21"/>
  <c r="F42" i="21"/>
  <c r="C42" i="21"/>
  <c r="B42" i="21"/>
  <c r="W41" i="21"/>
  <c r="V41" i="21"/>
  <c r="T41" i="21"/>
  <c r="S41" i="21"/>
  <c r="R41" i="21"/>
  <c r="P41" i="21"/>
  <c r="O41" i="21"/>
  <c r="N41" i="21"/>
  <c r="M41" i="21"/>
  <c r="I41" i="21"/>
  <c r="H41" i="21"/>
  <c r="G41" i="21"/>
  <c r="F41" i="21"/>
  <c r="C41" i="21"/>
  <c r="B41" i="21"/>
  <c r="W40" i="21"/>
  <c r="V40" i="21"/>
  <c r="T40" i="21"/>
  <c r="S40" i="21"/>
  <c r="R40" i="21"/>
  <c r="P40" i="21"/>
  <c r="O40" i="21"/>
  <c r="N40" i="21"/>
  <c r="I40" i="21"/>
  <c r="H40" i="21"/>
  <c r="G40" i="21"/>
  <c r="F40" i="21"/>
  <c r="C40" i="21"/>
  <c r="B40" i="21"/>
  <c r="W39" i="21"/>
  <c r="V39" i="21"/>
  <c r="T39" i="21"/>
  <c r="S39" i="21"/>
  <c r="R39" i="21"/>
  <c r="P39" i="21"/>
  <c r="O39" i="21"/>
  <c r="N39" i="21"/>
  <c r="M39" i="21"/>
  <c r="I39" i="21"/>
  <c r="H39" i="21"/>
  <c r="G39" i="21"/>
  <c r="F39" i="21"/>
  <c r="C39" i="21"/>
  <c r="B39" i="21"/>
  <c r="W38" i="21"/>
  <c r="V38" i="21"/>
  <c r="T38" i="21"/>
  <c r="S38" i="21"/>
  <c r="R38" i="21"/>
  <c r="P38" i="21"/>
  <c r="O38" i="21"/>
  <c r="N38" i="21"/>
  <c r="M38" i="21"/>
  <c r="I38" i="21"/>
  <c r="H38" i="21"/>
  <c r="G38" i="21"/>
  <c r="F38" i="21"/>
  <c r="C38" i="21"/>
  <c r="B38" i="21"/>
  <c r="W37" i="21"/>
  <c r="V37" i="21"/>
  <c r="T37" i="21"/>
  <c r="S37" i="21"/>
  <c r="R37" i="21"/>
  <c r="P37" i="21"/>
  <c r="O37" i="21"/>
  <c r="N37" i="21"/>
  <c r="M37" i="21"/>
  <c r="I37" i="21"/>
  <c r="H37" i="21"/>
  <c r="G37" i="21"/>
  <c r="F37" i="21"/>
  <c r="C37" i="21"/>
  <c r="B37" i="21"/>
  <c r="W36" i="21"/>
  <c r="V36" i="21"/>
  <c r="T36" i="21"/>
  <c r="S36" i="21"/>
  <c r="R36" i="21"/>
  <c r="P36" i="21"/>
  <c r="O36" i="21"/>
  <c r="N36" i="21"/>
  <c r="M36" i="21"/>
  <c r="I36" i="21"/>
  <c r="H36" i="21"/>
  <c r="G36" i="21"/>
  <c r="F36" i="21"/>
  <c r="C36" i="21"/>
  <c r="B36" i="21"/>
  <c r="W35" i="21"/>
  <c r="V35" i="21"/>
  <c r="T35" i="21"/>
  <c r="S35" i="21"/>
  <c r="R35" i="21"/>
  <c r="P35" i="21"/>
  <c r="O35" i="21"/>
  <c r="N35" i="21"/>
  <c r="M35" i="21"/>
  <c r="I35" i="21"/>
  <c r="H35" i="21"/>
  <c r="G35" i="21"/>
  <c r="F35" i="21"/>
  <c r="C35" i="21"/>
  <c r="B35" i="21"/>
  <c r="W34" i="21"/>
  <c r="V34" i="21"/>
  <c r="T34" i="21"/>
  <c r="S34" i="21"/>
  <c r="R34" i="21"/>
  <c r="P34" i="21"/>
  <c r="O34" i="21"/>
  <c r="N34" i="21"/>
  <c r="M34" i="21"/>
  <c r="I34" i="21"/>
  <c r="H34" i="21"/>
  <c r="G34" i="21"/>
  <c r="F34" i="21"/>
  <c r="C34" i="21"/>
  <c r="B34" i="21"/>
  <c r="W33" i="21"/>
  <c r="V33" i="21"/>
  <c r="T33" i="21"/>
  <c r="S33" i="21"/>
  <c r="R33" i="21"/>
  <c r="P33" i="21"/>
  <c r="O33" i="21"/>
  <c r="N33" i="21"/>
  <c r="M33" i="21"/>
  <c r="I33" i="21"/>
  <c r="H33" i="21"/>
  <c r="G33" i="21"/>
  <c r="F33" i="21"/>
  <c r="C33" i="21"/>
  <c r="B33" i="21"/>
  <c r="W32" i="21"/>
  <c r="V32" i="21"/>
  <c r="T32" i="21"/>
  <c r="S32" i="21"/>
  <c r="R32" i="21"/>
  <c r="P32" i="21"/>
  <c r="O32" i="21"/>
  <c r="N32" i="21"/>
  <c r="M32" i="21"/>
  <c r="I32" i="21"/>
  <c r="H32" i="21"/>
  <c r="G32" i="21"/>
  <c r="F32" i="21"/>
  <c r="C32" i="21"/>
  <c r="B32" i="21"/>
  <c r="W31" i="21"/>
  <c r="V31" i="21"/>
  <c r="T31" i="21"/>
  <c r="S31" i="21"/>
  <c r="R31" i="21"/>
  <c r="P31" i="21"/>
  <c r="O31" i="21"/>
  <c r="N31" i="21"/>
  <c r="M31" i="21"/>
  <c r="I31" i="21"/>
  <c r="H31" i="21"/>
  <c r="G31" i="21"/>
  <c r="F31" i="21"/>
  <c r="C31" i="21"/>
  <c r="B31" i="21"/>
  <c r="W30" i="21"/>
  <c r="V30" i="21"/>
  <c r="T30" i="21"/>
  <c r="S30" i="21"/>
  <c r="R30" i="21"/>
  <c r="P30" i="21"/>
  <c r="O30" i="21"/>
  <c r="N30" i="21"/>
  <c r="I30" i="21"/>
  <c r="H30" i="21"/>
  <c r="G30" i="21"/>
  <c r="F30" i="21"/>
  <c r="C30" i="21"/>
  <c r="B30" i="21"/>
  <c r="W29" i="21"/>
  <c r="V29" i="21"/>
  <c r="T29" i="21"/>
  <c r="S29" i="21"/>
  <c r="R29" i="21"/>
  <c r="P29" i="21"/>
  <c r="O29" i="21"/>
  <c r="N29" i="21"/>
  <c r="M29" i="21"/>
  <c r="I29" i="21"/>
  <c r="H29" i="21"/>
  <c r="G29" i="21"/>
  <c r="F29" i="21"/>
  <c r="C29" i="21"/>
  <c r="B29" i="21"/>
  <c r="W28" i="21"/>
  <c r="V28" i="21"/>
  <c r="T28" i="21"/>
  <c r="S28" i="21"/>
  <c r="R28" i="21"/>
  <c r="P28" i="21"/>
  <c r="O28" i="21"/>
  <c r="N28" i="21"/>
  <c r="M28" i="21"/>
  <c r="I28" i="21"/>
  <c r="H28" i="21"/>
  <c r="G28" i="21"/>
  <c r="F28" i="21"/>
  <c r="C28" i="21"/>
  <c r="B28" i="21"/>
  <c r="W27" i="21"/>
  <c r="V27" i="21"/>
  <c r="T27" i="21"/>
  <c r="S27" i="21"/>
  <c r="R27" i="21"/>
  <c r="P27" i="21"/>
  <c r="O27" i="21"/>
  <c r="N27" i="21"/>
  <c r="M27" i="21"/>
  <c r="I27" i="21"/>
  <c r="H27" i="21"/>
  <c r="G27" i="21"/>
  <c r="F27" i="21"/>
  <c r="C27" i="21"/>
  <c r="B27" i="21"/>
  <c r="W26" i="21"/>
  <c r="V26" i="21"/>
  <c r="T26" i="21"/>
  <c r="S26" i="21"/>
  <c r="R26" i="21"/>
  <c r="P26" i="21"/>
  <c r="O26" i="21"/>
  <c r="N26" i="21"/>
  <c r="M26" i="21"/>
  <c r="I26" i="21"/>
  <c r="H26" i="21"/>
  <c r="G26" i="21"/>
  <c r="F26" i="21"/>
  <c r="C26" i="21"/>
  <c r="B26" i="21"/>
  <c r="W25" i="21"/>
  <c r="V25" i="21"/>
  <c r="T25" i="21"/>
  <c r="S25" i="21"/>
  <c r="R25" i="21"/>
  <c r="P25" i="21"/>
  <c r="O25" i="21"/>
  <c r="N25" i="21"/>
  <c r="M25" i="21"/>
  <c r="I25" i="21"/>
  <c r="H25" i="21"/>
  <c r="G25" i="21"/>
  <c r="F25" i="21"/>
  <c r="C25" i="21"/>
  <c r="B25" i="21"/>
  <c r="W24" i="21"/>
  <c r="V24" i="21"/>
  <c r="T24" i="21"/>
  <c r="S24" i="21"/>
  <c r="R24" i="21"/>
  <c r="P24" i="21"/>
  <c r="O24" i="21"/>
  <c r="N24" i="21"/>
  <c r="M24" i="21"/>
  <c r="I24" i="21"/>
  <c r="H24" i="21"/>
  <c r="G24" i="21"/>
  <c r="F24" i="21"/>
  <c r="C24" i="21"/>
  <c r="B24" i="21"/>
  <c r="W23" i="21"/>
  <c r="V23" i="21"/>
  <c r="T23" i="21"/>
  <c r="S23" i="21"/>
  <c r="R23" i="21"/>
  <c r="P23" i="21"/>
  <c r="O23" i="21"/>
  <c r="N23" i="21"/>
  <c r="M23" i="21"/>
  <c r="I23" i="21"/>
  <c r="H23" i="21"/>
  <c r="G23" i="21"/>
  <c r="F23" i="21"/>
  <c r="C23" i="21"/>
  <c r="B23" i="21"/>
  <c r="W22" i="21"/>
  <c r="V22" i="21"/>
  <c r="T22" i="21"/>
  <c r="S22" i="21"/>
  <c r="R22" i="21"/>
  <c r="P22" i="21"/>
  <c r="O22" i="21"/>
  <c r="N22" i="21"/>
  <c r="M22" i="21"/>
  <c r="I22" i="21"/>
  <c r="H22" i="21"/>
  <c r="G22" i="21"/>
  <c r="F22" i="21"/>
  <c r="C22" i="21"/>
  <c r="B22" i="21"/>
  <c r="W21" i="21"/>
  <c r="V21" i="21"/>
  <c r="T21" i="21"/>
  <c r="S21" i="21"/>
  <c r="R21" i="21"/>
  <c r="P21" i="21"/>
  <c r="O21" i="21"/>
  <c r="N21" i="21"/>
  <c r="M21" i="21"/>
  <c r="I21" i="21"/>
  <c r="H21" i="21"/>
  <c r="G21" i="21"/>
  <c r="F21" i="21"/>
  <c r="C21" i="21"/>
  <c r="B21" i="21"/>
  <c r="W20" i="21"/>
  <c r="V20" i="21"/>
  <c r="T20" i="21"/>
  <c r="S20" i="21"/>
  <c r="R20" i="21"/>
  <c r="P20" i="21"/>
  <c r="O20" i="21"/>
  <c r="N20" i="21"/>
  <c r="I20" i="21"/>
  <c r="H20" i="21"/>
  <c r="G20" i="21"/>
  <c r="F20" i="21"/>
  <c r="C20" i="21"/>
  <c r="B20" i="21"/>
  <c r="W19" i="21"/>
  <c r="V19" i="21"/>
  <c r="T19" i="21"/>
  <c r="S19" i="21"/>
  <c r="R19" i="21"/>
  <c r="P19" i="21"/>
  <c r="O19" i="21"/>
  <c r="N19" i="21"/>
  <c r="I19" i="21"/>
  <c r="H19" i="21"/>
  <c r="G19" i="21"/>
  <c r="F19" i="21"/>
  <c r="C19" i="21"/>
  <c r="B19" i="21"/>
  <c r="W18" i="21"/>
  <c r="V18" i="21"/>
  <c r="T18" i="21"/>
  <c r="S18" i="21"/>
  <c r="R18" i="21"/>
  <c r="P18" i="21"/>
  <c r="O18" i="21"/>
  <c r="N18" i="21"/>
  <c r="I18" i="21"/>
  <c r="H18" i="21"/>
  <c r="G18" i="21"/>
  <c r="F18" i="21"/>
  <c r="C18" i="21"/>
  <c r="B18" i="21"/>
  <c r="W17" i="21"/>
  <c r="V17" i="21"/>
  <c r="T17" i="21"/>
  <c r="S17" i="21"/>
  <c r="R17" i="21"/>
  <c r="P17" i="21"/>
  <c r="O17" i="21"/>
  <c r="N17" i="21"/>
  <c r="I17" i="21"/>
  <c r="H17" i="21"/>
  <c r="G17" i="21"/>
  <c r="F17" i="21"/>
  <c r="C17" i="21"/>
  <c r="B17" i="21"/>
  <c r="W16" i="21"/>
  <c r="V16" i="21"/>
  <c r="T16" i="21"/>
  <c r="S16" i="21"/>
  <c r="R16" i="21"/>
  <c r="P16" i="21"/>
  <c r="O16" i="21"/>
  <c r="N16" i="21"/>
  <c r="I16" i="21"/>
  <c r="H16" i="21"/>
  <c r="G16" i="21"/>
  <c r="F16" i="21"/>
  <c r="C16" i="21"/>
  <c r="B16" i="21"/>
  <c r="W15" i="21"/>
  <c r="V15" i="21"/>
  <c r="T15" i="21"/>
  <c r="S15" i="21"/>
  <c r="R15" i="21"/>
  <c r="P15" i="21"/>
  <c r="O15" i="21"/>
  <c r="N15" i="21"/>
  <c r="I15" i="21"/>
  <c r="H15" i="21"/>
  <c r="G15" i="21"/>
  <c r="F15" i="21"/>
  <c r="C15" i="21"/>
  <c r="B15" i="21"/>
  <c r="W14" i="21"/>
  <c r="V14" i="21"/>
  <c r="T14" i="21"/>
  <c r="S14" i="21"/>
  <c r="R14" i="21"/>
  <c r="P14" i="21"/>
  <c r="O14" i="21"/>
  <c r="N14" i="21"/>
  <c r="I14" i="21"/>
  <c r="H14" i="21"/>
  <c r="G14" i="21"/>
  <c r="F14" i="21"/>
  <c r="C14" i="21"/>
  <c r="B14" i="21"/>
  <c r="W13" i="21"/>
  <c r="V13" i="21"/>
  <c r="T13" i="21"/>
  <c r="S13" i="21"/>
  <c r="R13" i="21"/>
  <c r="P13" i="21"/>
  <c r="O13" i="21"/>
  <c r="N13" i="21"/>
  <c r="I13" i="21"/>
  <c r="H13" i="21"/>
  <c r="G13" i="21"/>
  <c r="F13" i="21"/>
  <c r="C13" i="21"/>
  <c r="B13" i="21"/>
  <c r="W12" i="21"/>
  <c r="V12" i="21"/>
  <c r="T12" i="21"/>
  <c r="S12" i="21"/>
  <c r="R12" i="21"/>
  <c r="P12" i="21"/>
  <c r="O12" i="21"/>
  <c r="N12" i="21"/>
  <c r="I12" i="21"/>
  <c r="H12" i="21"/>
  <c r="G12" i="21"/>
  <c r="F12" i="21"/>
  <c r="C12" i="21"/>
  <c r="B12" i="21"/>
  <c r="W11" i="21"/>
  <c r="V11" i="21"/>
  <c r="T11" i="21"/>
  <c r="S11" i="21"/>
  <c r="R11" i="21"/>
  <c r="P11" i="21"/>
  <c r="O11" i="21"/>
  <c r="N11" i="21"/>
  <c r="I11" i="21"/>
  <c r="H11" i="21"/>
  <c r="G11" i="21"/>
  <c r="F11" i="21"/>
  <c r="C11" i="21"/>
  <c r="B11" i="21"/>
  <c r="N384" i="30"/>
  <c r="F384" i="30"/>
  <c r="I382" i="30"/>
  <c r="C382" i="30"/>
  <c r="I381" i="30"/>
  <c r="I380" i="30"/>
  <c r="C380" i="30"/>
  <c r="I379" i="30"/>
  <c r="J369" i="30"/>
  <c r="I369" i="30"/>
  <c r="N367" i="30"/>
  <c r="F367" i="30"/>
  <c r="J317" i="30"/>
  <c r="I317" i="30"/>
  <c r="J315" i="30"/>
  <c r="I315" i="30"/>
  <c r="E315" i="30"/>
  <c r="D315" i="30"/>
  <c r="J314" i="30"/>
  <c r="O313" i="30"/>
  <c r="N313" i="30"/>
  <c r="M313" i="30"/>
  <c r="K313" i="30"/>
  <c r="J313" i="30"/>
  <c r="I313" i="30"/>
  <c r="G313" i="30"/>
  <c r="F313" i="30"/>
  <c r="E313" i="30"/>
  <c r="D313" i="30"/>
  <c r="C313" i="30"/>
  <c r="O312" i="30"/>
  <c r="M312" i="30"/>
  <c r="K312" i="30"/>
  <c r="J312" i="30"/>
  <c r="I312" i="30"/>
  <c r="G312" i="30"/>
  <c r="F312" i="30"/>
  <c r="E312" i="30"/>
  <c r="D312" i="30"/>
  <c r="O311" i="30"/>
  <c r="N311" i="30"/>
  <c r="M311" i="30"/>
  <c r="K311" i="30"/>
  <c r="J311" i="30"/>
  <c r="I311" i="30"/>
  <c r="G311" i="30"/>
  <c r="F311" i="30"/>
  <c r="E311" i="30"/>
  <c r="D311" i="30"/>
  <c r="C311" i="30"/>
  <c r="J309" i="30"/>
  <c r="I309" i="30"/>
  <c r="F309" i="30"/>
  <c r="D309" i="30"/>
  <c r="N308" i="30"/>
  <c r="K308" i="30"/>
  <c r="J308" i="30"/>
  <c r="I308" i="30"/>
  <c r="G308" i="30"/>
  <c r="F308" i="30"/>
  <c r="E308" i="30"/>
  <c r="D308" i="30"/>
  <c r="N307" i="30"/>
  <c r="K307" i="30"/>
  <c r="J307" i="30"/>
  <c r="I307" i="30"/>
  <c r="G307" i="30"/>
  <c r="F307" i="30"/>
  <c r="E307" i="30"/>
  <c r="D307" i="30"/>
  <c r="J306" i="30"/>
  <c r="I306" i="30"/>
  <c r="E306" i="30"/>
  <c r="J304" i="30"/>
  <c r="I304" i="30"/>
  <c r="J303" i="30"/>
  <c r="D303" i="30"/>
  <c r="J302" i="30"/>
  <c r="J301" i="30"/>
  <c r="D301" i="30"/>
  <c r="J300" i="30"/>
  <c r="J255" i="30"/>
  <c r="I255" i="30"/>
  <c r="J253" i="30"/>
  <c r="I253" i="30"/>
  <c r="E253" i="30"/>
  <c r="D253" i="30"/>
  <c r="C253" i="30"/>
  <c r="J252" i="30"/>
  <c r="O251" i="30"/>
  <c r="N251" i="30"/>
  <c r="M251" i="30"/>
  <c r="K251" i="30"/>
  <c r="J251" i="30"/>
  <c r="I251" i="30"/>
  <c r="G251" i="30"/>
  <c r="F251" i="30"/>
  <c r="E251" i="30"/>
  <c r="D251" i="30"/>
  <c r="C251" i="30"/>
  <c r="O250" i="30"/>
  <c r="M250" i="30"/>
  <c r="K250" i="30"/>
  <c r="J250" i="30"/>
  <c r="I250" i="30"/>
  <c r="G250" i="30"/>
  <c r="F250" i="30"/>
  <c r="E250" i="30"/>
  <c r="D250" i="30"/>
  <c r="O249" i="30"/>
  <c r="N249" i="30"/>
  <c r="M249" i="30"/>
  <c r="K249" i="30"/>
  <c r="J249" i="30"/>
  <c r="I249" i="30"/>
  <c r="G249" i="30"/>
  <c r="F249" i="30"/>
  <c r="E249" i="30"/>
  <c r="D249" i="30"/>
  <c r="C249" i="30"/>
  <c r="J247" i="30"/>
  <c r="I247" i="30"/>
  <c r="F247" i="30"/>
  <c r="D247" i="30"/>
  <c r="N246" i="30"/>
  <c r="K246" i="30"/>
  <c r="J246" i="30"/>
  <c r="I246" i="30"/>
  <c r="G246" i="30"/>
  <c r="F246" i="30"/>
  <c r="E246" i="30"/>
  <c r="D246" i="30"/>
  <c r="N245" i="30"/>
  <c r="K245" i="30"/>
  <c r="J245" i="30"/>
  <c r="I245" i="30"/>
  <c r="G245" i="30"/>
  <c r="F245" i="30"/>
  <c r="E245" i="30"/>
  <c r="D245" i="30"/>
  <c r="J244" i="30"/>
  <c r="I244" i="30"/>
  <c r="E244" i="30"/>
  <c r="J242" i="30"/>
  <c r="I242" i="30"/>
  <c r="J241" i="30"/>
  <c r="D241" i="30"/>
  <c r="J240" i="30"/>
  <c r="J239" i="30"/>
  <c r="D239" i="30"/>
  <c r="J238" i="30"/>
  <c r="J222" i="30"/>
  <c r="I222" i="30"/>
  <c r="D222" i="30"/>
  <c r="C222" i="30"/>
  <c r="J220" i="30"/>
  <c r="I220" i="30"/>
  <c r="E220" i="30"/>
  <c r="D220" i="30"/>
  <c r="J219" i="30"/>
  <c r="O218" i="30"/>
  <c r="N218" i="30"/>
  <c r="M218" i="30"/>
  <c r="K218" i="30"/>
  <c r="J218" i="30"/>
  <c r="I218" i="30"/>
  <c r="G218" i="30"/>
  <c r="F218" i="30"/>
  <c r="E218" i="30"/>
  <c r="D218" i="30"/>
  <c r="C218" i="30"/>
  <c r="O217" i="30"/>
  <c r="M217" i="30"/>
  <c r="K217" i="30"/>
  <c r="J217" i="30"/>
  <c r="I217" i="30"/>
  <c r="G217" i="30"/>
  <c r="F217" i="30"/>
  <c r="E217" i="30"/>
  <c r="D217" i="30"/>
  <c r="O216" i="30"/>
  <c r="N216" i="30"/>
  <c r="M216" i="30"/>
  <c r="K216" i="30"/>
  <c r="J216" i="30"/>
  <c r="I216" i="30"/>
  <c r="G216" i="30"/>
  <c r="F216" i="30"/>
  <c r="E216" i="30"/>
  <c r="D216" i="30"/>
  <c r="C216" i="30"/>
  <c r="J214" i="30"/>
  <c r="I214" i="30"/>
  <c r="F214" i="30"/>
  <c r="D214" i="30"/>
  <c r="N213" i="30"/>
  <c r="K213" i="30"/>
  <c r="J213" i="30"/>
  <c r="I213" i="30"/>
  <c r="G213" i="30"/>
  <c r="F213" i="30"/>
  <c r="E213" i="30"/>
  <c r="D213" i="30"/>
  <c r="N212" i="30"/>
  <c r="K212" i="30"/>
  <c r="J212" i="30"/>
  <c r="I212" i="30"/>
  <c r="G212" i="30"/>
  <c r="F212" i="30"/>
  <c r="E212" i="30"/>
  <c r="D212" i="30"/>
  <c r="J211" i="30"/>
  <c r="I211" i="30"/>
  <c r="E211" i="30"/>
  <c r="J209" i="30"/>
  <c r="I209" i="30"/>
  <c r="J208" i="30"/>
  <c r="D208" i="30"/>
  <c r="J207" i="30"/>
  <c r="J206" i="30"/>
  <c r="D206" i="30"/>
  <c r="J205" i="30"/>
  <c r="J191" i="30"/>
  <c r="I191" i="30"/>
  <c r="E191" i="30"/>
  <c r="D191" i="30"/>
  <c r="J189" i="30"/>
  <c r="I189" i="30"/>
  <c r="D189" i="30"/>
  <c r="C189" i="30"/>
  <c r="J187" i="30"/>
  <c r="O185" i="30"/>
  <c r="N185" i="30"/>
  <c r="M185" i="30"/>
  <c r="K185" i="30"/>
  <c r="J185" i="30"/>
  <c r="I185" i="30"/>
  <c r="G185" i="30"/>
  <c r="F185" i="30"/>
  <c r="E185" i="30"/>
  <c r="D185" i="30"/>
  <c r="C185" i="30"/>
  <c r="O184" i="30"/>
  <c r="M184" i="30"/>
  <c r="K184" i="30"/>
  <c r="J184" i="30"/>
  <c r="I184" i="30"/>
  <c r="G184" i="30"/>
  <c r="F184" i="30"/>
  <c r="E184" i="30"/>
  <c r="D184" i="30"/>
  <c r="O183" i="30"/>
  <c r="N183" i="30"/>
  <c r="M183" i="30"/>
  <c r="K183" i="30"/>
  <c r="J183" i="30"/>
  <c r="I183" i="30"/>
  <c r="G183" i="30"/>
  <c r="F183" i="30"/>
  <c r="E183" i="30"/>
  <c r="D183" i="30"/>
  <c r="C183" i="30"/>
  <c r="J181" i="30"/>
  <c r="I181" i="30"/>
  <c r="F181" i="30"/>
  <c r="D181" i="30"/>
  <c r="N180" i="30"/>
  <c r="K180" i="30"/>
  <c r="J180" i="30"/>
  <c r="I180" i="30"/>
  <c r="G180" i="30"/>
  <c r="F180" i="30"/>
  <c r="E180" i="30"/>
  <c r="D180" i="30"/>
  <c r="N179" i="30"/>
  <c r="K179" i="30"/>
  <c r="J179" i="30"/>
  <c r="I179" i="30"/>
  <c r="G179" i="30"/>
  <c r="F179" i="30"/>
  <c r="E179" i="30"/>
  <c r="D179" i="30"/>
  <c r="J178" i="30"/>
  <c r="I178" i="30"/>
  <c r="E178" i="30"/>
  <c r="J176" i="30"/>
  <c r="I176" i="30"/>
  <c r="J175" i="30"/>
  <c r="D175" i="30"/>
  <c r="J174" i="30"/>
  <c r="J173" i="30"/>
  <c r="D173" i="30"/>
  <c r="J172" i="30"/>
  <c r="J158" i="30"/>
  <c r="I158" i="30"/>
  <c r="E158" i="30"/>
  <c r="D158" i="30"/>
  <c r="J156" i="30"/>
  <c r="I156" i="30"/>
  <c r="D156" i="30"/>
  <c r="C156" i="30"/>
  <c r="O152" i="30"/>
  <c r="N152" i="30"/>
  <c r="M152" i="30"/>
  <c r="K152" i="30"/>
  <c r="J152" i="30"/>
  <c r="I152" i="30"/>
  <c r="G152" i="30"/>
  <c r="F152" i="30"/>
  <c r="E152" i="30"/>
  <c r="D152" i="30"/>
  <c r="C152" i="30"/>
  <c r="N151" i="30"/>
  <c r="O150" i="30"/>
  <c r="N150" i="30"/>
  <c r="M150" i="30"/>
  <c r="K150" i="30"/>
  <c r="J150" i="30"/>
  <c r="I150" i="30"/>
  <c r="G150" i="30"/>
  <c r="F150" i="30"/>
  <c r="E150" i="30"/>
  <c r="D150" i="30"/>
  <c r="C150" i="30"/>
  <c r="J148" i="30"/>
  <c r="I148" i="30"/>
  <c r="D148" i="30"/>
  <c r="N147" i="30"/>
  <c r="N146" i="30"/>
  <c r="J143" i="30"/>
  <c r="J142" i="30"/>
  <c r="J127" i="30"/>
  <c r="I127" i="30"/>
  <c r="E127" i="30"/>
  <c r="D127" i="30"/>
  <c r="J125" i="30"/>
  <c r="I125" i="30"/>
  <c r="D125" i="30"/>
  <c r="C125" i="30"/>
  <c r="O123" i="30"/>
  <c r="N123" i="30"/>
  <c r="M123" i="30"/>
  <c r="K123" i="30"/>
  <c r="J123" i="30"/>
  <c r="I123" i="30"/>
  <c r="G123" i="30"/>
  <c r="F123" i="30"/>
  <c r="E123" i="30"/>
  <c r="D123" i="30"/>
  <c r="C123" i="30"/>
  <c r="N122" i="30"/>
  <c r="O121" i="30"/>
  <c r="N121" i="30"/>
  <c r="M121" i="30"/>
  <c r="K121" i="30"/>
  <c r="J121" i="30"/>
  <c r="I121" i="30"/>
  <c r="G121" i="30"/>
  <c r="F121" i="30"/>
  <c r="E121" i="30"/>
  <c r="D121" i="30"/>
  <c r="C121" i="30"/>
  <c r="J119" i="30"/>
  <c r="I119" i="30"/>
  <c r="D119" i="30"/>
  <c r="N118" i="30"/>
  <c r="N117" i="30"/>
  <c r="J114" i="30"/>
  <c r="J113" i="30"/>
  <c r="J101" i="30"/>
  <c r="I101" i="30"/>
  <c r="E101" i="30"/>
  <c r="D101" i="30"/>
  <c r="J99" i="30"/>
  <c r="I99" i="30"/>
  <c r="D99" i="30"/>
  <c r="C99" i="30"/>
  <c r="O97" i="30"/>
  <c r="N97" i="30"/>
  <c r="M97" i="30"/>
  <c r="K97" i="30"/>
  <c r="J97" i="30"/>
  <c r="I97" i="30"/>
  <c r="G97" i="30"/>
  <c r="F97" i="30"/>
  <c r="E97" i="30"/>
  <c r="D97" i="30"/>
  <c r="C97" i="30"/>
  <c r="O95" i="30"/>
  <c r="N95" i="30"/>
  <c r="M95" i="30"/>
  <c r="K95" i="30"/>
  <c r="J95" i="30"/>
  <c r="I95" i="30"/>
  <c r="G95" i="30"/>
  <c r="F95" i="30"/>
  <c r="E95" i="30"/>
  <c r="D95" i="30"/>
  <c r="C95" i="30"/>
  <c r="M83" i="30"/>
  <c r="M82" i="30"/>
  <c r="J73" i="30"/>
  <c r="I73" i="30"/>
  <c r="F73" i="30"/>
  <c r="E73" i="30"/>
  <c r="D73" i="30"/>
  <c r="J72" i="30"/>
  <c r="I72" i="30"/>
  <c r="D72" i="30"/>
  <c r="C72" i="30"/>
  <c r="O71" i="30"/>
  <c r="N71" i="30"/>
  <c r="M71" i="30"/>
  <c r="K71" i="30"/>
  <c r="J71" i="30"/>
  <c r="I71" i="30"/>
  <c r="G71" i="30"/>
  <c r="F71" i="30"/>
  <c r="E71" i="30"/>
  <c r="D71" i="30"/>
  <c r="C71" i="30"/>
  <c r="O69" i="30"/>
  <c r="N69" i="30"/>
  <c r="M69" i="30"/>
  <c r="K69" i="30"/>
  <c r="J69" i="30"/>
  <c r="I69" i="30"/>
  <c r="G69" i="30"/>
  <c r="F69" i="30"/>
  <c r="E69" i="30"/>
  <c r="D69" i="30"/>
  <c r="C69" i="30"/>
  <c r="O50" i="30"/>
  <c r="N50" i="30"/>
  <c r="M50" i="30"/>
  <c r="K50" i="30"/>
  <c r="J50" i="30"/>
  <c r="I50" i="30"/>
  <c r="G50" i="30"/>
  <c r="F50" i="30"/>
  <c r="E50" i="30"/>
  <c r="D50" i="30"/>
  <c r="C50" i="30"/>
  <c r="O48" i="30"/>
  <c r="N48" i="30"/>
  <c r="M48" i="30"/>
  <c r="K48" i="30"/>
  <c r="J48" i="30"/>
  <c r="I48" i="30"/>
  <c r="G48" i="30"/>
  <c r="F48" i="30"/>
  <c r="E48" i="30"/>
  <c r="D48" i="30"/>
  <c r="C48" i="30"/>
  <c r="O32" i="30"/>
  <c r="N32" i="30"/>
  <c r="M32" i="30"/>
  <c r="K32" i="30"/>
  <c r="I32" i="30"/>
  <c r="G32" i="30"/>
  <c r="F32" i="30"/>
  <c r="E32" i="30"/>
  <c r="C32" i="30"/>
  <c r="O30" i="30"/>
  <c r="N30" i="30"/>
  <c r="M30" i="30"/>
  <c r="K30" i="30"/>
  <c r="I30" i="30"/>
  <c r="G30" i="30"/>
  <c r="F30" i="30"/>
  <c r="E30" i="30"/>
  <c r="C30" i="30"/>
  <c r="O14" i="30"/>
  <c r="N14" i="30"/>
  <c r="M14" i="30"/>
  <c r="K14" i="30"/>
  <c r="I14" i="30"/>
  <c r="G14" i="30"/>
  <c r="F14" i="30"/>
  <c r="E14" i="30"/>
  <c r="C14" i="30"/>
  <c r="O12" i="30"/>
  <c r="N12" i="30"/>
  <c r="M12" i="30"/>
  <c r="K12" i="30"/>
  <c r="I12" i="30"/>
  <c r="G12" i="30"/>
  <c r="F12" i="30"/>
  <c r="E12" i="30"/>
  <c r="C12" i="30"/>
  <c r="H27" i="51"/>
  <c r="Z35" i="51"/>
  <c r="H22" i="51"/>
  <c r="X35" i="51"/>
  <c r="H20" i="51"/>
  <c r="V35" i="51"/>
  <c r="H19" i="51"/>
  <c r="U35" i="51"/>
  <c r="H18" i="51"/>
  <c r="T35" i="51"/>
  <c r="H16" i="51"/>
  <c r="R35" i="51"/>
  <c r="H14" i="51"/>
  <c r="O35" i="51"/>
  <c r="I12" i="51"/>
  <c r="H35" i="51"/>
  <c r="I11" i="51"/>
  <c r="I35" i="51"/>
  <c r="I10" i="51"/>
  <c r="G35" i="51"/>
  <c r="I9" i="51"/>
  <c r="F35" i="51"/>
  <c r="I8" i="51"/>
  <c r="E35" i="51"/>
  <c r="I7" i="51"/>
  <c r="D35" i="51"/>
  <c r="I6" i="51"/>
  <c r="C35" i="51"/>
  <c r="P27" i="51"/>
  <c r="K2" i="51"/>
  <c r="B1" i="43"/>
  <c r="F8" i="50"/>
  <c r="A6" i="50"/>
  <c r="B1" i="50"/>
  <c r="B1" i="36"/>
  <c r="B77" i="28"/>
  <c r="E75" i="28"/>
  <c r="D75" i="28"/>
  <c r="D68" i="28"/>
  <c r="B60" i="28"/>
  <c r="E4" i="28"/>
  <c r="E68" i="28"/>
  <c r="D4" i="28"/>
  <c r="A1" i="28"/>
  <c r="J40" i="7"/>
  <c r="H40" i="7"/>
  <c r="G40" i="7"/>
  <c r="F40" i="7"/>
  <c r="H38" i="7"/>
  <c r="H37" i="7"/>
  <c r="H36" i="7"/>
  <c r="H35" i="7"/>
  <c r="H34" i="7"/>
  <c r="H33" i="7"/>
  <c r="H32" i="7"/>
  <c r="H31" i="7"/>
  <c r="H30" i="7"/>
  <c r="H29" i="7"/>
  <c r="H28" i="7"/>
  <c r="H27" i="7"/>
  <c r="H26" i="7"/>
  <c r="H25" i="7"/>
  <c r="H24" i="7"/>
  <c r="H23" i="7"/>
  <c r="H22" i="7"/>
  <c r="H21" i="7"/>
  <c r="H20" i="7"/>
  <c r="H19" i="7"/>
  <c r="H18" i="7"/>
  <c r="H17" i="7"/>
  <c r="H16" i="7"/>
  <c r="H15" i="7"/>
  <c r="H14" i="7"/>
  <c r="H13" i="7"/>
  <c r="H12" i="7"/>
  <c r="H11" i="7"/>
  <c r="H10" i="7"/>
  <c r="J5" i="7"/>
  <c r="H5" i="7"/>
  <c r="G5" i="7"/>
  <c r="F5" i="7"/>
  <c r="A1" i="7"/>
  <c r="B30" i="53"/>
  <c r="B27" i="53"/>
  <c r="B23" i="53"/>
  <c r="AI21" i="53"/>
  <c r="AC21" i="53"/>
  <c r="Z21" i="53"/>
  <c r="Y21" i="53"/>
  <c r="V21" i="53"/>
  <c r="U21" i="53"/>
  <c r="M21" i="53"/>
  <c r="J21" i="53"/>
  <c r="I21" i="53"/>
  <c r="AI19" i="53"/>
  <c r="AG19" i="53"/>
  <c r="AF19" i="53"/>
  <c r="AE19" i="53"/>
  <c r="AD19" i="53"/>
  <c r="AC19" i="53"/>
  <c r="AA19" i="53"/>
  <c r="Z19" i="53"/>
  <c r="Y19" i="53"/>
  <c r="U19" i="53"/>
  <c r="R19" i="53"/>
  <c r="Q19" i="53"/>
  <c r="P19" i="53"/>
  <c r="O19" i="53"/>
  <c r="N19" i="53"/>
  <c r="M19" i="53"/>
  <c r="I19" i="53"/>
  <c r="AI18" i="53"/>
  <c r="AG18" i="53"/>
  <c r="AF18" i="53"/>
  <c r="AE18" i="53"/>
  <c r="AD18" i="53"/>
  <c r="AC18" i="53"/>
  <c r="AA18" i="53"/>
  <c r="Z18" i="53"/>
  <c r="Y18" i="53"/>
  <c r="U18" i="53"/>
  <c r="R18" i="53"/>
  <c r="Q18" i="53"/>
  <c r="P18" i="53"/>
  <c r="O18" i="53"/>
  <c r="N18" i="53"/>
  <c r="M18" i="53"/>
  <c r="I18" i="53"/>
  <c r="AI17" i="53"/>
  <c r="AG17" i="53"/>
  <c r="AF17" i="53"/>
  <c r="AE17" i="53"/>
  <c r="AD17" i="53"/>
  <c r="AC17" i="53"/>
  <c r="AA17" i="53"/>
  <c r="Z17" i="53"/>
  <c r="Y17" i="53"/>
  <c r="U17" i="53"/>
  <c r="R17" i="53"/>
  <c r="Q17" i="53"/>
  <c r="P17" i="53"/>
  <c r="O17" i="53"/>
  <c r="N17" i="53"/>
  <c r="M17" i="53"/>
  <c r="I17" i="53"/>
  <c r="AI16" i="53"/>
  <c r="AG16" i="53"/>
  <c r="AF16" i="53"/>
  <c r="AE16" i="53"/>
  <c r="AD16" i="53"/>
  <c r="AC16" i="53"/>
  <c r="AA16" i="53"/>
  <c r="Z16" i="53"/>
  <c r="Y16" i="53"/>
  <c r="U16" i="53"/>
  <c r="O16" i="53"/>
  <c r="O21" i="53"/>
  <c r="N16" i="53"/>
  <c r="P16" i="53"/>
  <c r="M16" i="53"/>
  <c r="I16" i="53"/>
  <c r="AI15" i="53"/>
  <c r="AG15" i="53"/>
  <c r="AF15" i="53"/>
  <c r="AE15" i="53"/>
  <c r="AD15" i="53"/>
  <c r="AC15" i="53"/>
  <c r="AA15" i="53"/>
  <c r="Z15" i="53"/>
  <c r="Y15" i="53"/>
  <c r="U15" i="53"/>
  <c r="R15" i="53"/>
  <c r="Q15" i="53"/>
  <c r="P15" i="53"/>
  <c r="O15" i="53"/>
  <c r="N15" i="53"/>
  <c r="M15" i="53"/>
  <c r="I15" i="53"/>
  <c r="AI14" i="53"/>
  <c r="AG14" i="53"/>
  <c r="AF14" i="53"/>
  <c r="AE14" i="53"/>
  <c r="AD14" i="53"/>
  <c r="AC14" i="53"/>
  <c r="AA14" i="53"/>
  <c r="Z14" i="53"/>
  <c r="Y14" i="53"/>
  <c r="U14" i="53"/>
  <c r="R14" i="53"/>
  <c r="Q14" i="53"/>
  <c r="P14" i="53"/>
  <c r="O14" i="53"/>
  <c r="N14" i="53"/>
  <c r="M14" i="53"/>
  <c r="I14" i="53"/>
  <c r="AI13" i="53"/>
  <c r="AG13" i="53"/>
  <c r="AF13" i="53"/>
  <c r="AE13" i="53"/>
  <c r="AD13" i="53"/>
  <c r="AC13" i="53"/>
  <c r="AA13" i="53"/>
  <c r="Z13" i="53"/>
  <c r="Y13" i="53"/>
  <c r="U13" i="53"/>
  <c r="R13" i="53"/>
  <c r="Q13" i="53"/>
  <c r="P13" i="53"/>
  <c r="O13" i="53"/>
  <c r="N13" i="53"/>
  <c r="M13" i="53"/>
  <c r="I13" i="53"/>
  <c r="AI12" i="53"/>
  <c r="AG12" i="53"/>
  <c r="AF12" i="53"/>
  <c r="AE12" i="53"/>
  <c r="AD12" i="53"/>
  <c r="AC12" i="53"/>
  <c r="AA12" i="53"/>
  <c r="Z12" i="53"/>
  <c r="Y12" i="53"/>
  <c r="U12" i="53"/>
  <c r="R12" i="53"/>
  <c r="Q12" i="53"/>
  <c r="P12" i="53"/>
  <c r="O12" i="53"/>
  <c r="N12" i="53"/>
  <c r="M12" i="53"/>
  <c r="I12" i="53"/>
  <c r="AI11" i="53"/>
  <c r="AG11" i="53"/>
  <c r="AF11" i="53"/>
  <c r="AE11" i="53"/>
  <c r="AD11" i="53"/>
  <c r="AC11" i="53"/>
  <c r="AA11" i="53"/>
  <c r="Z11" i="53"/>
  <c r="Y11" i="53"/>
  <c r="U11" i="53"/>
  <c r="R11" i="53"/>
  <c r="Q11" i="53"/>
  <c r="P11" i="53"/>
  <c r="O11" i="53"/>
  <c r="N11" i="53"/>
  <c r="M11" i="53"/>
  <c r="I11" i="53"/>
  <c r="AI10" i="53"/>
  <c r="AG10" i="53"/>
  <c r="AF10" i="53"/>
  <c r="AE10" i="53"/>
  <c r="AD10" i="53"/>
  <c r="AC10" i="53"/>
  <c r="AA10" i="53"/>
  <c r="Z10" i="53"/>
  <c r="Y10" i="53"/>
  <c r="U10" i="53"/>
  <c r="R10" i="53"/>
  <c r="Q10" i="53"/>
  <c r="P10" i="53"/>
  <c r="O10" i="53"/>
  <c r="N10" i="53"/>
  <c r="M10" i="53"/>
  <c r="I10" i="53"/>
  <c r="AJ9" i="53"/>
  <c r="AJ19" i="53"/>
  <c r="AK19" i="53"/>
  <c r="T9" i="53"/>
  <c r="Q9" i="53"/>
  <c r="AA7" i="53"/>
  <c r="Z7" i="53"/>
  <c r="AI7" i="53"/>
  <c r="AK7" i="53"/>
  <c r="Y7" i="53"/>
  <c r="L7" i="53"/>
  <c r="R7" i="53"/>
  <c r="B5" i="53"/>
  <c r="T3" i="53"/>
  <c r="B1" i="53"/>
  <c r="B121" i="57"/>
  <c r="B113" i="57"/>
  <c r="K111" i="57"/>
  <c r="Z109" i="57"/>
  <c r="Y109" i="57"/>
  <c r="X109" i="57"/>
  <c r="V109" i="57"/>
  <c r="U109" i="57"/>
  <c r="T109" i="57"/>
  <c r="S109" i="57"/>
  <c r="R109" i="57"/>
  <c r="P109" i="57"/>
  <c r="O109" i="57"/>
  <c r="N109" i="57"/>
  <c r="J109" i="57"/>
  <c r="Z108" i="57"/>
  <c r="Y108" i="57"/>
  <c r="X108" i="57"/>
  <c r="V108" i="57"/>
  <c r="U108" i="57"/>
  <c r="T108" i="57"/>
  <c r="S108" i="57"/>
  <c r="R108" i="57"/>
  <c r="P108" i="57"/>
  <c r="O108" i="57"/>
  <c r="N108" i="57"/>
  <c r="J108" i="57"/>
  <c r="Z107" i="57"/>
  <c r="Y107" i="57"/>
  <c r="X107" i="57"/>
  <c r="V107" i="57"/>
  <c r="U107" i="57"/>
  <c r="T107" i="57"/>
  <c r="S107" i="57"/>
  <c r="R107" i="57"/>
  <c r="P107" i="57"/>
  <c r="O107" i="57"/>
  <c r="N107" i="57"/>
  <c r="J107" i="57"/>
  <c r="Z106" i="57"/>
  <c r="Y106" i="57"/>
  <c r="X106" i="57"/>
  <c r="V106" i="57"/>
  <c r="U106" i="57"/>
  <c r="T106" i="57"/>
  <c r="S106" i="57"/>
  <c r="R106" i="57"/>
  <c r="P106" i="57"/>
  <c r="O106" i="57"/>
  <c r="N106" i="57"/>
  <c r="J106" i="57"/>
  <c r="Z105" i="57"/>
  <c r="Y105" i="57"/>
  <c r="X105" i="57"/>
  <c r="V105" i="57"/>
  <c r="U105" i="57"/>
  <c r="T105" i="57"/>
  <c r="S105" i="57"/>
  <c r="R105" i="57"/>
  <c r="P105" i="57"/>
  <c r="O105" i="57"/>
  <c r="N105" i="57"/>
  <c r="J105" i="57"/>
  <c r="Z104" i="57"/>
  <c r="Y104" i="57"/>
  <c r="X104" i="57"/>
  <c r="V104" i="57"/>
  <c r="U104" i="57"/>
  <c r="T104" i="57"/>
  <c r="S104" i="57"/>
  <c r="R104" i="57"/>
  <c r="P104" i="57"/>
  <c r="O104" i="57"/>
  <c r="N104" i="57"/>
  <c r="J104" i="57"/>
  <c r="Z103" i="57"/>
  <c r="Y103" i="57"/>
  <c r="X103" i="57"/>
  <c r="V103" i="57"/>
  <c r="U103" i="57"/>
  <c r="T103" i="57"/>
  <c r="S103" i="57"/>
  <c r="R103" i="57"/>
  <c r="P103" i="57"/>
  <c r="O103" i="57"/>
  <c r="N103" i="57"/>
  <c r="J103" i="57"/>
  <c r="Z102" i="57"/>
  <c r="Y102" i="57"/>
  <c r="X102" i="57"/>
  <c r="V102" i="57"/>
  <c r="U102" i="57"/>
  <c r="T102" i="57"/>
  <c r="S102" i="57"/>
  <c r="R102" i="57"/>
  <c r="P102" i="57"/>
  <c r="O102" i="57"/>
  <c r="N102" i="57"/>
  <c r="J102" i="57"/>
  <c r="Z101" i="57"/>
  <c r="Y101" i="57"/>
  <c r="X101" i="57"/>
  <c r="V101" i="57"/>
  <c r="U101" i="57"/>
  <c r="T101" i="57"/>
  <c r="S101" i="57"/>
  <c r="R101" i="57"/>
  <c r="P101" i="57"/>
  <c r="O101" i="57"/>
  <c r="N101" i="57"/>
  <c r="J101" i="57"/>
  <c r="Z100" i="57"/>
  <c r="Y100" i="57"/>
  <c r="X100" i="57"/>
  <c r="V100" i="57"/>
  <c r="U100" i="57"/>
  <c r="T100" i="57"/>
  <c r="S100" i="57"/>
  <c r="R100" i="57"/>
  <c r="P100" i="57"/>
  <c r="O100" i="57"/>
  <c r="N100" i="57"/>
  <c r="J100" i="57"/>
  <c r="Z99" i="57"/>
  <c r="Y99" i="57"/>
  <c r="X99" i="57"/>
  <c r="V99" i="57"/>
  <c r="U99" i="57"/>
  <c r="T99" i="57"/>
  <c r="S99" i="57"/>
  <c r="R99" i="57"/>
  <c r="P99" i="57"/>
  <c r="O99" i="57"/>
  <c r="N99" i="57"/>
  <c r="J99" i="57"/>
  <c r="Z98" i="57"/>
  <c r="Y98" i="57"/>
  <c r="X98" i="57"/>
  <c r="V98" i="57"/>
  <c r="U98" i="57"/>
  <c r="T98" i="57"/>
  <c r="S98" i="57"/>
  <c r="R98" i="57"/>
  <c r="P98" i="57"/>
  <c r="O98" i="57"/>
  <c r="N98" i="57"/>
  <c r="J98" i="57"/>
  <c r="Z97" i="57"/>
  <c r="Y97" i="57"/>
  <c r="X97" i="57"/>
  <c r="V97" i="57"/>
  <c r="U97" i="57"/>
  <c r="T97" i="57"/>
  <c r="S97" i="57"/>
  <c r="R97" i="57"/>
  <c r="P97" i="57"/>
  <c r="O97" i="57"/>
  <c r="N97" i="57"/>
  <c r="J97" i="57"/>
  <c r="Z96" i="57"/>
  <c r="Y96" i="57"/>
  <c r="X96" i="57"/>
  <c r="V96" i="57"/>
  <c r="U96" i="57"/>
  <c r="T96" i="57"/>
  <c r="S96" i="57"/>
  <c r="R96" i="57"/>
  <c r="P96" i="57"/>
  <c r="O96" i="57"/>
  <c r="N96" i="57"/>
  <c r="J96" i="57"/>
  <c r="Z95" i="57"/>
  <c r="Y95" i="57"/>
  <c r="X95" i="57"/>
  <c r="V95" i="57"/>
  <c r="U95" i="57"/>
  <c r="T95" i="57"/>
  <c r="S95" i="57"/>
  <c r="R95" i="57"/>
  <c r="P95" i="57"/>
  <c r="O95" i="57"/>
  <c r="N95" i="57"/>
  <c r="J95" i="57"/>
  <c r="Z94" i="57"/>
  <c r="Y94" i="57"/>
  <c r="X94" i="57"/>
  <c r="V94" i="57"/>
  <c r="U94" i="57"/>
  <c r="T94" i="57"/>
  <c r="S94" i="57"/>
  <c r="R94" i="57"/>
  <c r="P94" i="57"/>
  <c r="O94" i="57"/>
  <c r="N94" i="57"/>
  <c r="J94" i="57"/>
  <c r="Z93" i="57"/>
  <c r="Y93" i="57"/>
  <c r="X93" i="57"/>
  <c r="V93" i="57"/>
  <c r="U93" i="57"/>
  <c r="T93" i="57"/>
  <c r="S93" i="57"/>
  <c r="R93" i="57"/>
  <c r="P93" i="57"/>
  <c r="O93" i="57"/>
  <c r="N93" i="57"/>
  <c r="J93" i="57"/>
  <c r="Z92" i="57"/>
  <c r="Y92" i="57"/>
  <c r="X92" i="57"/>
  <c r="V92" i="57"/>
  <c r="U92" i="57"/>
  <c r="T92" i="57"/>
  <c r="S92" i="57"/>
  <c r="R92" i="57"/>
  <c r="P92" i="57"/>
  <c r="O92" i="57"/>
  <c r="N92" i="57"/>
  <c r="J92" i="57"/>
  <c r="Z91" i="57"/>
  <c r="Y91" i="57"/>
  <c r="X91" i="57"/>
  <c r="V91" i="57"/>
  <c r="U91" i="57"/>
  <c r="T91" i="57"/>
  <c r="S91" i="57"/>
  <c r="R91" i="57"/>
  <c r="P91" i="57"/>
  <c r="O91" i="57"/>
  <c r="N91" i="57"/>
  <c r="J91" i="57"/>
  <c r="Z90" i="57"/>
  <c r="Y90" i="57"/>
  <c r="X90" i="57"/>
  <c r="V90" i="57"/>
  <c r="U90" i="57"/>
  <c r="T90" i="57"/>
  <c r="S90" i="57"/>
  <c r="R90" i="57"/>
  <c r="P90" i="57"/>
  <c r="O90" i="57"/>
  <c r="N90" i="57"/>
  <c r="J90" i="57"/>
  <c r="Z89" i="57"/>
  <c r="Y89" i="57"/>
  <c r="X89" i="57"/>
  <c r="V89" i="57"/>
  <c r="U89" i="57"/>
  <c r="T89" i="57"/>
  <c r="S89" i="57"/>
  <c r="R89" i="57"/>
  <c r="P89" i="57"/>
  <c r="O89" i="57"/>
  <c r="N89" i="57"/>
  <c r="J89" i="57"/>
  <c r="Z88" i="57"/>
  <c r="Y88" i="57"/>
  <c r="X88" i="57"/>
  <c r="V88" i="57"/>
  <c r="U88" i="57"/>
  <c r="T88" i="57"/>
  <c r="S88" i="57"/>
  <c r="R88" i="57"/>
  <c r="P88" i="57"/>
  <c r="O88" i="57"/>
  <c r="N88" i="57"/>
  <c r="J88" i="57"/>
  <c r="Z87" i="57"/>
  <c r="Y87" i="57"/>
  <c r="X87" i="57"/>
  <c r="V87" i="57"/>
  <c r="U87" i="57"/>
  <c r="T87" i="57"/>
  <c r="S87" i="57"/>
  <c r="R87" i="57"/>
  <c r="P87" i="57"/>
  <c r="O87" i="57"/>
  <c r="N87" i="57"/>
  <c r="J87" i="57"/>
  <c r="Z86" i="57"/>
  <c r="Y86" i="57"/>
  <c r="X86" i="57"/>
  <c r="V86" i="57"/>
  <c r="U86" i="57"/>
  <c r="T86" i="57"/>
  <c r="S86" i="57"/>
  <c r="R86" i="57"/>
  <c r="P86" i="57"/>
  <c r="O86" i="57"/>
  <c r="N86" i="57"/>
  <c r="J86" i="57"/>
  <c r="Z85" i="57"/>
  <c r="Y85" i="57"/>
  <c r="X85" i="57"/>
  <c r="V85" i="57"/>
  <c r="U85" i="57"/>
  <c r="T85" i="57"/>
  <c r="S85" i="57"/>
  <c r="R85" i="57"/>
  <c r="P85" i="57"/>
  <c r="O85" i="57"/>
  <c r="N85" i="57"/>
  <c r="J85" i="57"/>
  <c r="Z84" i="57"/>
  <c r="Y84" i="57"/>
  <c r="X84" i="57"/>
  <c r="V84" i="57"/>
  <c r="U84" i="57"/>
  <c r="T84" i="57"/>
  <c r="S84" i="57"/>
  <c r="R84" i="57"/>
  <c r="P84" i="57"/>
  <c r="O84" i="57"/>
  <c r="N84" i="57"/>
  <c r="J84" i="57"/>
  <c r="Z83" i="57"/>
  <c r="Y83" i="57"/>
  <c r="X83" i="57"/>
  <c r="V83" i="57"/>
  <c r="U83" i="57"/>
  <c r="T83" i="57"/>
  <c r="S83" i="57"/>
  <c r="R83" i="57"/>
  <c r="P83" i="57"/>
  <c r="O83" i="57"/>
  <c r="N83" i="57"/>
  <c r="J83" i="57"/>
  <c r="Z82" i="57"/>
  <c r="Y82" i="57"/>
  <c r="X82" i="57"/>
  <c r="V82" i="57"/>
  <c r="U82" i="57"/>
  <c r="T82" i="57"/>
  <c r="S82" i="57"/>
  <c r="R82" i="57"/>
  <c r="P82" i="57"/>
  <c r="O82" i="57"/>
  <c r="N82" i="57"/>
  <c r="J82" i="57"/>
  <c r="Z81" i="57"/>
  <c r="Y81" i="57"/>
  <c r="X81" i="57"/>
  <c r="V81" i="57"/>
  <c r="U81" i="57"/>
  <c r="T81" i="57"/>
  <c r="S81" i="57"/>
  <c r="R81" i="57"/>
  <c r="P81" i="57"/>
  <c r="O81" i="57"/>
  <c r="N81" i="57"/>
  <c r="J81" i="57"/>
  <c r="Z80" i="57"/>
  <c r="Y80" i="57"/>
  <c r="X80" i="57"/>
  <c r="V80" i="57"/>
  <c r="U80" i="57"/>
  <c r="T80" i="57"/>
  <c r="S80" i="57"/>
  <c r="R80" i="57"/>
  <c r="P80" i="57"/>
  <c r="O80" i="57"/>
  <c r="N80" i="57"/>
  <c r="J80" i="57"/>
  <c r="Z79" i="57"/>
  <c r="Y79" i="57"/>
  <c r="X79" i="57"/>
  <c r="V79" i="57"/>
  <c r="U79" i="57"/>
  <c r="T79" i="57"/>
  <c r="S79" i="57"/>
  <c r="R79" i="57"/>
  <c r="P79" i="57"/>
  <c r="O79" i="57"/>
  <c r="N79" i="57"/>
  <c r="J79" i="57"/>
  <c r="Z78" i="57"/>
  <c r="Y78" i="57"/>
  <c r="X78" i="57"/>
  <c r="V78" i="57"/>
  <c r="U78" i="57"/>
  <c r="T78" i="57"/>
  <c r="S78" i="57"/>
  <c r="R78" i="57"/>
  <c r="P78" i="57"/>
  <c r="O78" i="57"/>
  <c r="N78" i="57"/>
  <c r="J78" i="57"/>
  <c r="Z77" i="57"/>
  <c r="Y77" i="57"/>
  <c r="X77" i="57"/>
  <c r="V77" i="57"/>
  <c r="U77" i="57"/>
  <c r="T77" i="57"/>
  <c r="S77" i="57"/>
  <c r="R77" i="57"/>
  <c r="P77" i="57"/>
  <c r="O77" i="57"/>
  <c r="N77" i="57"/>
  <c r="J77" i="57"/>
  <c r="Z76" i="57"/>
  <c r="Y76" i="57"/>
  <c r="X76" i="57"/>
  <c r="V76" i="57"/>
  <c r="U76" i="57"/>
  <c r="T76" i="57"/>
  <c r="S76" i="57"/>
  <c r="R76" i="57"/>
  <c r="P76" i="57"/>
  <c r="O76" i="57"/>
  <c r="N76" i="57"/>
  <c r="J76" i="57"/>
  <c r="Z75" i="57"/>
  <c r="Y75" i="57"/>
  <c r="X75" i="57"/>
  <c r="V75" i="57"/>
  <c r="U75" i="57"/>
  <c r="T75" i="57"/>
  <c r="S75" i="57"/>
  <c r="R75" i="57"/>
  <c r="P75" i="57"/>
  <c r="O75" i="57"/>
  <c r="N75" i="57"/>
  <c r="J75" i="57"/>
  <c r="Z74" i="57"/>
  <c r="Y74" i="57"/>
  <c r="X74" i="57"/>
  <c r="V74" i="57"/>
  <c r="U74" i="57"/>
  <c r="T74" i="57"/>
  <c r="S74" i="57"/>
  <c r="R74" i="57"/>
  <c r="P74" i="57"/>
  <c r="O74" i="57"/>
  <c r="N74" i="57"/>
  <c r="J74" i="57"/>
  <c r="Z73" i="57"/>
  <c r="Y73" i="57"/>
  <c r="X73" i="57"/>
  <c r="V73" i="57"/>
  <c r="U73" i="57"/>
  <c r="T73" i="57"/>
  <c r="S73" i="57"/>
  <c r="R73" i="57"/>
  <c r="P73" i="57"/>
  <c r="O73" i="57"/>
  <c r="N73" i="57"/>
  <c r="J73" i="57"/>
  <c r="Z72" i="57"/>
  <c r="Y72" i="57"/>
  <c r="X72" i="57"/>
  <c r="V72" i="57"/>
  <c r="U72" i="57"/>
  <c r="T72" i="57"/>
  <c r="S72" i="57"/>
  <c r="R72" i="57"/>
  <c r="P72" i="57"/>
  <c r="O72" i="57"/>
  <c r="N72" i="57"/>
  <c r="J72" i="57"/>
  <c r="Z71" i="57"/>
  <c r="Y71" i="57"/>
  <c r="X71" i="57"/>
  <c r="V71" i="57"/>
  <c r="U71" i="57"/>
  <c r="T71" i="57"/>
  <c r="S71" i="57"/>
  <c r="R71" i="57"/>
  <c r="P71" i="57"/>
  <c r="O71" i="57"/>
  <c r="N71" i="57"/>
  <c r="J71" i="57"/>
  <c r="Z70" i="57"/>
  <c r="Y70" i="57"/>
  <c r="X70" i="57"/>
  <c r="V70" i="57"/>
  <c r="U70" i="57"/>
  <c r="T70" i="57"/>
  <c r="S70" i="57"/>
  <c r="R70" i="57"/>
  <c r="P70" i="57"/>
  <c r="O70" i="57"/>
  <c r="N70" i="57"/>
  <c r="J70" i="57"/>
  <c r="Z69" i="57"/>
  <c r="Y69" i="57"/>
  <c r="X69" i="57"/>
  <c r="V69" i="57"/>
  <c r="U69" i="57"/>
  <c r="T69" i="57"/>
  <c r="S69" i="57"/>
  <c r="R69" i="57"/>
  <c r="P69" i="57"/>
  <c r="O69" i="57"/>
  <c r="N69" i="57"/>
  <c r="J69" i="57"/>
  <c r="Z68" i="57"/>
  <c r="Y68" i="57"/>
  <c r="X68" i="57"/>
  <c r="V68" i="57"/>
  <c r="U68" i="57"/>
  <c r="T68" i="57"/>
  <c r="S68" i="57"/>
  <c r="R68" i="57"/>
  <c r="P68" i="57"/>
  <c r="O68" i="57"/>
  <c r="N68" i="57"/>
  <c r="J68" i="57"/>
  <c r="Z67" i="57"/>
  <c r="Y67" i="57"/>
  <c r="X67" i="57"/>
  <c r="V67" i="57"/>
  <c r="U67" i="57"/>
  <c r="T67" i="57"/>
  <c r="S67" i="57"/>
  <c r="R67" i="57"/>
  <c r="P67" i="57"/>
  <c r="O67" i="57"/>
  <c r="N67" i="57"/>
  <c r="J67" i="57"/>
  <c r="Z66" i="57"/>
  <c r="Y66" i="57"/>
  <c r="X66" i="57"/>
  <c r="V66" i="57"/>
  <c r="U66" i="57"/>
  <c r="T66" i="57"/>
  <c r="S66" i="57"/>
  <c r="R66" i="57"/>
  <c r="P66" i="57"/>
  <c r="O66" i="57"/>
  <c r="N66" i="57"/>
  <c r="J66" i="57"/>
  <c r="Z65" i="57"/>
  <c r="Y65" i="57"/>
  <c r="X65" i="57"/>
  <c r="V65" i="57"/>
  <c r="U65" i="57"/>
  <c r="T65" i="57"/>
  <c r="S65" i="57"/>
  <c r="R65" i="57"/>
  <c r="P65" i="57"/>
  <c r="O65" i="57"/>
  <c r="N65" i="57"/>
  <c r="J65" i="57"/>
  <c r="Z64" i="57"/>
  <c r="Y64" i="57"/>
  <c r="X64" i="57"/>
  <c r="V64" i="57"/>
  <c r="U64" i="57"/>
  <c r="T64" i="57"/>
  <c r="S64" i="57"/>
  <c r="R64" i="57"/>
  <c r="P64" i="57"/>
  <c r="O64" i="57"/>
  <c r="N64" i="57"/>
  <c r="J64" i="57"/>
  <c r="Z63" i="57"/>
  <c r="Y63" i="57"/>
  <c r="X63" i="57"/>
  <c r="V63" i="57"/>
  <c r="U63" i="57"/>
  <c r="T63" i="57"/>
  <c r="S63" i="57"/>
  <c r="R63" i="57"/>
  <c r="P63" i="57"/>
  <c r="O63" i="57"/>
  <c r="N63" i="57"/>
  <c r="J63" i="57"/>
  <c r="Z62" i="57"/>
  <c r="Y62" i="57"/>
  <c r="X62" i="57"/>
  <c r="V62" i="57"/>
  <c r="U62" i="57"/>
  <c r="T62" i="57"/>
  <c r="S62" i="57"/>
  <c r="R62" i="57"/>
  <c r="P62" i="57"/>
  <c r="O62" i="57"/>
  <c r="N62" i="57"/>
  <c r="J62" i="57"/>
  <c r="Z61" i="57"/>
  <c r="Y61" i="57"/>
  <c r="X61" i="57"/>
  <c r="V61" i="57"/>
  <c r="U61" i="57"/>
  <c r="T61" i="57"/>
  <c r="S61" i="57"/>
  <c r="R61" i="57"/>
  <c r="P61" i="57"/>
  <c r="O61" i="57"/>
  <c r="N61" i="57"/>
  <c r="J61" i="57"/>
  <c r="Z60" i="57"/>
  <c r="Y60" i="57"/>
  <c r="X60" i="57"/>
  <c r="V60" i="57"/>
  <c r="U60" i="57"/>
  <c r="T60" i="57"/>
  <c r="S60" i="57"/>
  <c r="R60" i="57"/>
  <c r="P60" i="57"/>
  <c r="O60" i="57"/>
  <c r="N60" i="57"/>
  <c r="J60" i="57"/>
  <c r="Z59" i="57"/>
  <c r="Y59" i="57"/>
  <c r="X59" i="57"/>
  <c r="V59" i="57"/>
  <c r="U59" i="57"/>
  <c r="T59" i="57"/>
  <c r="S59" i="57"/>
  <c r="R59" i="57"/>
  <c r="P59" i="57"/>
  <c r="O59" i="57"/>
  <c r="N59" i="57"/>
  <c r="J59" i="57"/>
  <c r="Z58" i="57"/>
  <c r="Y58" i="57"/>
  <c r="X58" i="57"/>
  <c r="V58" i="57"/>
  <c r="U58" i="57"/>
  <c r="T58" i="57"/>
  <c r="S58" i="57"/>
  <c r="R58" i="57"/>
  <c r="P58" i="57"/>
  <c r="O58" i="57"/>
  <c r="N58" i="57"/>
  <c r="J58" i="57"/>
  <c r="Z57" i="57"/>
  <c r="Y57" i="57"/>
  <c r="X57" i="57"/>
  <c r="V57" i="57"/>
  <c r="U57" i="57"/>
  <c r="T57" i="57"/>
  <c r="S57" i="57"/>
  <c r="R57" i="57"/>
  <c r="P57" i="57"/>
  <c r="O57" i="57"/>
  <c r="N57" i="57"/>
  <c r="J57" i="57"/>
  <c r="Z56" i="57"/>
  <c r="Y56" i="57"/>
  <c r="X56" i="57"/>
  <c r="V56" i="57"/>
  <c r="U56" i="57"/>
  <c r="T56" i="57"/>
  <c r="S56" i="57"/>
  <c r="R56" i="57"/>
  <c r="P56" i="57"/>
  <c r="O56" i="57"/>
  <c r="N56" i="57"/>
  <c r="J56" i="57"/>
  <c r="Z55" i="57"/>
  <c r="Y55" i="57"/>
  <c r="X55" i="57"/>
  <c r="V55" i="57"/>
  <c r="U55" i="57"/>
  <c r="T55" i="57"/>
  <c r="S55" i="57"/>
  <c r="R55" i="57"/>
  <c r="P55" i="57"/>
  <c r="O55" i="57"/>
  <c r="N55" i="57"/>
  <c r="J55" i="57"/>
  <c r="Z54" i="57"/>
  <c r="Y54" i="57"/>
  <c r="X54" i="57"/>
  <c r="V54" i="57"/>
  <c r="U54" i="57"/>
  <c r="T54" i="57"/>
  <c r="S54" i="57"/>
  <c r="R54" i="57"/>
  <c r="P54" i="57"/>
  <c r="O54" i="57"/>
  <c r="N54" i="57"/>
  <c r="J54" i="57"/>
  <c r="Z53" i="57"/>
  <c r="Y53" i="57"/>
  <c r="X53" i="57"/>
  <c r="V53" i="57"/>
  <c r="U53" i="57"/>
  <c r="T53" i="57"/>
  <c r="S53" i="57"/>
  <c r="R53" i="57"/>
  <c r="P53" i="57"/>
  <c r="O53" i="57"/>
  <c r="N53" i="57"/>
  <c r="J53" i="57"/>
  <c r="Z52" i="57"/>
  <c r="Y52" i="57"/>
  <c r="X52" i="57"/>
  <c r="V52" i="57"/>
  <c r="U52" i="57"/>
  <c r="T52" i="57"/>
  <c r="S52" i="57"/>
  <c r="R52" i="57"/>
  <c r="P52" i="57"/>
  <c r="O52" i="57"/>
  <c r="N52" i="57"/>
  <c r="J52" i="57"/>
  <c r="Z51" i="57"/>
  <c r="Y51" i="57"/>
  <c r="X51" i="57"/>
  <c r="V51" i="57"/>
  <c r="U51" i="57"/>
  <c r="T51" i="57"/>
  <c r="S51" i="57"/>
  <c r="R51" i="57"/>
  <c r="P51" i="57"/>
  <c r="O51" i="57"/>
  <c r="N51" i="57"/>
  <c r="J51" i="57"/>
  <c r="Z50" i="57"/>
  <c r="Y50" i="57"/>
  <c r="X50" i="57"/>
  <c r="V50" i="57"/>
  <c r="U50" i="57"/>
  <c r="T50" i="57"/>
  <c r="S50" i="57"/>
  <c r="R50" i="57"/>
  <c r="P50" i="57"/>
  <c r="O50" i="57"/>
  <c r="N50" i="57"/>
  <c r="J50" i="57"/>
  <c r="Z49" i="57"/>
  <c r="Y49" i="57"/>
  <c r="X49" i="57"/>
  <c r="V49" i="57"/>
  <c r="U49" i="57"/>
  <c r="T49" i="57"/>
  <c r="S49" i="57"/>
  <c r="R49" i="57"/>
  <c r="P49" i="57"/>
  <c r="O49" i="57"/>
  <c r="N49" i="57"/>
  <c r="J49" i="57"/>
  <c r="Z48" i="57"/>
  <c r="Y48" i="57"/>
  <c r="X48" i="57"/>
  <c r="V48" i="57"/>
  <c r="U48" i="57"/>
  <c r="T48" i="57"/>
  <c r="S48" i="57"/>
  <c r="R48" i="57"/>
  <c r="P48" i="57"/>
  <c r="O48" i="57"/>
  <c r="N48" i="57"/>
  <c r="J48" i="57"/>
  <c r="Z47" i="57"/>
  <c r="Y47" i="57"/>
  <c r="X47" i="57"/>
  <c r="V47" i="57"/>
  <c r="U47" i="57"/>
  <c r="T47" i="57"/>
  <c r="S47" i="57"/>
  <c r="R47" i="57"/>
  <c r="P47" i="57"/>
  <c r="O47" i="57"/>
  <c r="N47" i="57"/>
  <c r="J47" i="57"/>
  <c r="Z46" i="57"/>
  <c r="Y46" i="57"/>
  <c r="X46" i="57"/>
  <c r="V46" i="57"/>
  <c r="U46" i="57"/>
  <c r="T46" i="57"/>
  <c r="S46" i="57"/>
  <c r="R46" i="57"/>
  <c r="P46" i="57"/>
  <c r="O46" i="57"/>
  <c r="N46" i="57"/>
  <c r="J46" i="57"/>
  <c r="Z45" i="57"/>
  <c r="Y45" i="57"/>
  <c r="X45" i="57"/>
  <c r="V45" i="57"/>
  <c r="U45" i="57"/>
  <c r="T45" i="57"/>
  <c r="S45" i="57"/>
  <c r="R45" i="57"/>
  <c r="P45" i="57"/>
  <c r="O45" i="57"/>
  <c r="N45" i="57"/>
  <c r="J45" i="57"/>
  <c r="Z44" i="57"/>
  <c r="Y44" i="57"/>
  <c r="X44" i="57"/>
  <c r="V44" i="57"/>
  <c r="U44" i="57"/>
  <c r="T44" i="57"/>
  <c r="S44" i="57"/>
  <c r="R44" i="57"/>
  <c r="P44" i="57"/>
  <c r="O44" i="57"/>
  <c r="N44" i="57"/>
  <c r="J44" i="57"/>
  <c r="Z43" i="57"/>
  <c r="Y43" i="57"/>
  <c r="X43" i="57"/>
  <c r="V43" i="57"/>
  <c r="U43" i="57"/>
  <c r="T43" i="57"/>
  <c r="S43" i="57"/>
  <c r="R43" i="57"/>
  <c r="P43" i="57"/>
  <c r="O43" i="57"/>
  <c r="N43" i="57"/>
  <c r="J43" i="57"/>
  <c r="Z42" i="57"/>
  <c r="Y42" i="57"/>
  <c r="X42" i="57"/>
  <c r="V42" i="57"/>
  <c r="U42" i="57"/>
  <c r="T42" i="57"/>
  <c r="S42" i="57"/>
  <c r="R42" i="57"/>
  <c r="P42" i="57"/>
  <c r="O42" i="57"/>
  <c r="N42" i="57"/>
  <c r="J42" i="57"/>
  <c r="Z41" i="57"/>
  <c r="Y41" i="57"/>
  <c r="X41" i="57"/>
  <c r="V41" i="57"/>
  <c r="U41" i="57"/>
  <c r="T41" i="57"/>
  <c r="S41" i="57"/>
  <c r="R41" i="57"/>
  <c r="P41" i="57"/>
  <c r="O41" i="57"/>
  <c r="N41" i="57"/>
  <c r="J41" i="57"/>
  <c r="Z40" i="57"/>
  <c r="Y40" i="57"/>
  <c r="X40" i="57"/>
  <c r="V40" i="57"/>
  <c r="U40" i="57"/>
  <c r="T40" i="57"/>
  <c r="S40" i="57"/>
  <c r="R40" i="57"/>
  <c r="P40" i="57"/>
  <c r="O40" i="57"/>
  <c r="N40" i="57"/>
  <c r="J40" i="57"/>
  <c r="Z39" i="57"/>
  <c r="Y39" i="57"/>
  <c r="X39" i="57"/>
  <c r="V39" i="57"/>
  <c r="U39" i="57"/>
  <c r="T39" i="57"/>
  <c r="S39" i="57"/>
  <c r="R39" i="57"/>
  <c r="P39" i="57"/>
  <c r="O39" i="57"/>
  <c r="N39" i="57"/>
  <c r="J39" i="57"/>
  <c r="Z38" i="57"/>
  <c r="Y38" i="57"/>
  <c r="X38" i="57"/>
  <c r="V38" i="57"/>
  <c r="U38" i="57"/>
  <c r="T38" i="57"/>
  <c r="S38" i="57"/>
  <c r="R38" i="57"/>
  <c r="P38" i="57"/>
  <c r="O38" i="57"/>
  <c r="N38" i="57"/>
  <c r="J38" i="57"/>
  <c r="Z37" i="57"/>
  <c r="Y37" i="57"/>
  <c r="X37" i="57"/>
  <c r="V37" i="57"/>
  <c r="U37" i="57"/>
  <c r="T37" i="57"/>
  <c r="S37" i="57"/>
  <c r="R37" i="57"/>
  <c r="P37" i="57"/>
  <c r="O37" i="57"/>
  <c r="N37" i="57"/>
  <c r="J37" i="57"/>
  <c r="Z36" i="57"/>
  <c r="Y36" i="57"/>
  <c r="X36" i="57"/>
  <c r="V36" i="57"/>
  <c r="U36" i="57"/>
  <c r="T36" i="57"/>
  <c r="S36" i="57"/>
  <c r="R36" i="57"/>
  <c r="P36" i="57"/>
  <c r="O36" i="57"/>
  <c r="N36" i="57"/>
  <c r="J36" i="57"/>
  <c r="Z35" i="57"/>
  <c r="Y35" i="57"/>
  <c r="X35" i="57"/>
  <c r="V35" i="57"/>
  <c r="U35" i="57"/>
  <c r="T35" i="57"/>
  <c r="S35" i="57"/>
  <c r="R35" i="57"/>
  <c r="P35" i="57"/>
  <c r="O35" i="57"/>
  <c r="N35" i="57"/>
  <c r="J35" i="57"/>
  <c r="Z34" i="57"/>
  <c r="Y34" i="57"/>
  <c r="X34" i="57"/>
  <c r="V34" i="57"/>
  <c r="U34" i="57"/>
  <c r="T34" i="57"/>
  <c r="S34" i="57"/>
  <c r="R34" i="57"/>
  <c r="P34" i="57"/>
  <c r="O34" i="57"/>
  <c r="N34" i="57"/>
  <c r="J34" i="57"/>
  <c r="Z33" i="57"/>
  <c r="Y33" i="57"/>
  <c r="X33" i="57"/>
  <c r="V33" i="57"/>
  <c r="U33" i="57"/>
  <c r="T33" i="57"/>
  <c r="S33" i="57"/>
  <c r="R33" i="57"/>
  <c r="P33" i="57"/>
  <c r="O33" i="57"/>
  <c r="N33" i="57"/>
  <c r="J33" i="57"/>
  <c r="Z32" i="57"/>
  <c r="Y32" i="57"/>
  <c r="X32" i="57"/>
  <c r="V32" i="57"/>
  <c r="U32" i="57"/>
  <c r="T32" i="57"/>
  <c r="S32" i="57"/>
  <c r="R32" i="57"/>
  <c r="P32" i="57"/>
  <c r="O32" i="57"/>
  <c r="N32" i="57"/>
  <c r="J32" i="57"/>
  <c r="Z31" i="57"/>
  <c r="Y31" i="57"/>
  <c r="X31" i="57"/>
  <c r="V31" i="57"/>
  <c r="U31" i="57"/>
  <c r="T31" i="57"/>
  <c r="S31" i="57"/>
  <c r="R31" i="57"/>
  <c r="P31" i="57"/>
  <c r="O31" i="57"/>
  <c r="N31" i="57"/>
  <c r="J31" i="57"/>
  <c r="Z30" i="57"/>
  <c r="Y30" i="57"/>
  <c r="X30" i="57"/>
  <c r="V30" i="57"/>
  <c r="U30" i="57"/>
  <c r="T30" i="57"/>
  <c r="S30" i="57"/>
  <c r="R30" i="57"/>
  <c r="P30" i="57"/>
  <c r="O30" i="57"/>
  <c r="N30" i="57"/>
  <c r="J30" i="57"/>
  <c r="Z29" i="57"/>
  <c r="Y29" i="57"/>
  <c r="X29" i="57"/>
  <c r="V29" i="57"/>
  <c r="U29" i="57"/>
  <c r="T29" i="57"/>
  <c r="S29" i="57"/>
  <c r="R29" i="57"/>
  <c r="P29" i="57"/>
  <c r="O29" i="57"/>
  <c r="N29" i="57"/>
  <c r="J29" i="57"/>
  <c r="Z28" i="57"/>
  <c r="Y28" i="57"/>
  <c r="X28" i="57"/>
  <c r="V28" i="57"/>
  <c r="U28" i="57"/>
  <c r="T28" i="57"/>
  <c r="S28" i="57"/>
  <c r="R28" i="57"/>
  <c r="P28" i="57"/>
  <c r="O28" i="57"/>
  <c r="N28" i="57"/>
  <c r="J28" i="57"/>
  <c r="Z27" i="57"/>
  <c r="Y27" i="57"/>
  <c r="X27" i="57"/>
  <c r="V27" i="57"/>
  <c r="U27" i="57"/>
  <c r="T27" i="57"/>
  <c r="S27" i="57"/>
  <c r="R27" i="57"/>
  <c r="P27" i="57"/>
  <c r="O27" i="57"/>
  <c r="N27" i="57"/>
  <c r="J27" i="57"/>
  <c r="Z26" i="57"/>
  <c r="Y26" i="57"/>
  <c r="X26" i="57"/>
  <c r="V26" i="57"/>
  <c r="U26" i="57"/>
  <c r="T26" i="57"/>
  <c r="S26" i="57"/>
  <c r="R26" i="57"/>
  <c r="P26" i="57"/>
  <c r="O26" i="57"/>
  <c r="N26" i="57"/>
  <c r="J26" i="57"/>
  <c r="Z25" i="57"/>
  <c r="Y25" i="57"/>
  <c r="X25" i="57"/>
  <c r="V25" i="57"/>
  <c r="U25" i="57"/>
  <c r="T25" i="57"/>
  <c r="S25" i="57"/>
  <c r="R25" i="57"/>
  <c r="P25" i="57"/>
  <c r="O25" i="57"/>
  <c r="N25" i="57"/>
  <c r="J25" i="57"/>
  <c r="Z24" i="57"/>
  <c r="Y24" i="57"/>
  <c r="X24" i="57"/>
  <c r="V24" i="57"/>
  <c r="U24" i="57"/>
  <c r="T24" i="57"/>
  <c r="S24" i="57"/>
  <c r="R24" i="57"/>
  <c r="P24" i="57"/>
  <c r="O24" i="57"/>
  <c r="N24" i="57"/>
  <c r="J24" i="57"/>
  <c r="Z23" i="57"/>
  <c r="Y23" i="57"/>
  <c r="X23" i="57"/>
  <c r="V23" i="57"/>
  <c r="U23" i="57"/>
  <c r="T23" i="57"/>
  <c r="S23" i="57"/>
  <c r="R23" i="57"/>
  <c r="P23" i="57"/>
  <c r="O23" i="57"/>
  <c r="N23" i="57"/>
  <c r="J23" i="57"/>
  <c r="Z22" i="57"/>
  <c r="Y22" i="57"/>
  <c r="X22" i="57"/>
  <c r="V22" i="57"/>
  <c r="U22" i="57"/>
  <c r="T22" i="57"/>
  <c r="S22" i="57"/>
  <c r="R22" i="57"/>
  <c r="P22" i="57"/>
  <c r="O22" i="57"/>
  <c r="N22" i="57"/>
  <c r="J22" i="57"/>
  <c r="Z21" i="57"/>
  <c r="Y21" i="57"/>
  <c r="X21" i="57"/>
  <c r="V21" i="57"/>
  <c r="U21" i="57"/>
  <c r="T21" i="57"/>
  <c r="S21" i="57"/>
  <c r="R21" i="57"/>
  <c r="P21" i="57"/>
  <c r="O21" i="57"/>
  <c r="N21" i="57"/>
  <c r="J21" i="57"/>
  <c r="Z20" i="57"/>
  <c r="Y20" i="57"/>
  <c r="X20" i="57"/>
  <c r="V20" i="57"/>
  <c r="U20" i="57"/>
  <c r="T20" i="57"/>
  <c r="S20" i="57"/>
  <c r="R20" i="57"/>
  <c r="P20" i="57"/>
  <c r="O20" i="57"/>
  <c r="N20" i="57"/>
  <c r="J20" i="57"/>
  <c r="X19" i="57"/>
  <c r="V19" i="57"/>
  <c r="U19" i="57"/>
  <c r="T19" i="57"/>
  <c r="S19" i="57"/>
  <c r="R19" i="57"/>
  <c r="P19" i="57"/>
  <c r="O19" i="57"/>
  <c r="N19" i="57"/>
  <c r="J19" i="57"/>
  <c r="Y18" i="57"/>
  <c r="Z18" i="57"/>
  <c r="X18" i="57"/>
  <c r="V18" i="57"/>
  <c r="U18" i="57"/>
  <c r="T18" i="57"/>
  <c r="S18" i="57"/>
  <c r="R18" i="57"/>
  <c r="P18" i="57"/>
  <c r="O18" i="57"/>
  <c r="N18" i="57"/>
  <c r="J18" i="57"/>
  <c r="X17" i="57"/>
  <c r="V17" i="57"/>
  <c r="U17" i="57"/>
  <c r="T17" i="57"/>
  <c r="S17" i="57"/>
  <c r="R17" i="57"/>
  <c r="P17" i="57"/>
  <c r="O17" i="57"/>
  <c r="N17" i="57"/>
  <c r="J17" i="57"/>
  <c r="Y16" i="57"/>
  <c r="Z16" i="57"/>
  <c r="X16" i="57"/>
  <c r="V16" i="57"/>
  <c r="U16" i="57"/>
  <c r="T16" i="57"/>
  <c r="S16" i="57"/>
  <c r="R16" i="57"/>
  <c r="P16" i="57"/>
  <c r="O16" i="57"/>
  <c r="N16" i="57"/>
  <c r="J16" i="57"/>
  <c r="X15" i="57"/>
  <c r="V15" i="57"/>
  <c r="U15" i="57"/>
  <c r="T15" i="57"/>
  <c r="S15" i="57"/>
  <c r="R15" i="57"/>
  <c r="P15" i="57"/>
  <c r="O15" i="57"/>
  <c r="N15" i="57"/>
  <c r="J15" i="57"/>
  <c r="Y14" i="57"/>
  <c r="Z14" i="57"/>
  <c r="X14" i="57"/>
  <c r="V14" i="57"/>
  <c r="U14" i="57"/>
  <c r="T14" i="57"/>
  <c r="S14" i="57"/>
  <c r="R14" i="57"/>
  <c r="P14" i="57"/>
  <c r="O14" i="57"/>
  <c r="N14" i="57"/>
  <c r="J14" i="57"/>
  <c r="X13" i="57"/>
  <c r="V13" i="57"/>
  <c r="U13" i="57"/>
  <c r="T13" i="57"/>
  <c r="S13" i="57"/>
  <c r="R13" i="57"/>
  <c r="P13" i="57"/>
  <c r="O13" i="57"/>
  <c r="N13" i="57"/>
  <c r="J13" i="57"/>
  <c r="Y12" i="57"/>
  <c r="Z12" i="57"/>
  <c r="X12" i="57"/>
  <c r="V12" i="57"/>
  <c r="U12" i="57"/>
  <c r="T12" i="57"/>
  <c r="S12" i="57"/>
  <c r="R12" i="57"/>
  <c r="P12" i="57"/>
  <c r="O12" i="57"/>
  <c r="N12" i="57"/>
  <c r="J12" i="57"/>
  <c r="Y11" i="57"/>
  <c r="Z11" i="57"/>
  <c r="X11" i="57"/>
  <c r="V11" i="57"/>
  <c r="U11" i="57"/>
  <c r="T11" i="57"/>
  <c r="S11" i="57"/>
  <c r="R11" i="57"/>
  <c r="P11" i="57"/>
  <c r="O11" i="57"/>
  <c r="N11" i="57"/>
  <c r="J11" i="57"/>
  <c r="R10" i="57"/>
  <c r="R111" i="57"/>
  <c r="N10" i="57"/>
  <c r="O10" i="57"/>
  <c r="J10" i="57"/>
  <c r="J111" i="57"/>
  <c r="Y9" i="57"/>
  <c r="Y19" i="57"/>
  <c r="Z19" i="57"/>
  <c r="I9" i="57"/>
  <c r="P7" i="57"/>
  <c r="O7" i="57"/>
  <c r="X7" i="57"/>
  <c r="Z7" i="57"/>
  <c r="N7" i="57"/>
  <c r="B5" i="57"/>
  <c r="B1" i="57"/>
  <c r="B124" i="19"/>
  <c r="B28" i="53"/>
  <c r="B121" i="19"/>
  <c r="B26" i="53"/>
  <c r="B120" i="19"/>
  <c r="B25" i="53"/>
  <c r="B118" i="19"/>
  <c r="X116" i="19"/>
  <c r="L116" i="19"/>
  <c r="AK113" i="19"/>
  <c r="T111" i="19"/>
  <c r="S111" i="19"/>
  <c r="G109" i="19"/>
  <c r="G108" i="19"/>
  <c r="G107" i="19"/>
  <c r="G106" i="19"/>
  <c r="G105" i="19"/>
  <c r="G104" i="19"/>
  <c r="G103" i="19"/>
  <c r="G102" i="19"/>
  <c r="G101" i="19"/>
  <c r="G100" i="19"/>
  <c r="G99" i="19"/>
  <c r="G98" i="19"/>
  <c r="G97" i="19"/>
  <c r="G96" i="19"/>
  <c r="G95" i="19"/>
  <c r="G94" i="19"/>
  <c r="G93" i="19"/>
  <c r="G92" i="19"/>
  <c r="G91" i="19"/>
  <c r="G90" i="19"/>
  <c r="G89" i="19"/>
  <c r="G88" i="19"/>
  <c r="G87" i="19"/>
  <c r="G86" i="19"/>
  <c r="G85" i="19"/>
  <c r="G84" i="19"/>
  <c r="G83" i="19"/>
  <c r="G82" i="19"/>
  <c r="G81" i="19"/>
  <c r="G80" i="19"/>
  <c r="G79" i="19"/>
  <c r="G78" i="19"/>
  <c r="G77" i="19"/>
  <c r="G76" i="19"/>
  <c r="G75" i="19"/>
  <c r="G74" i="19"/>
  <c r="G73" i="19"/>
  <c r="G72" i="19"/>
  <c r="G71" i="19"/>
  <c r="G70" i="19"/>
  <c r="G69" i="19"/>
  <c r="G68" i="19"/>
  <c r="G67" i="19"/>
  <c r="G66" i="19"/>
  <c r="G65" i="19"/>
  <c r="G64" i="19"/>
  <c r="G63" i="19"/>
  <c r="G62" i="19"/>
  <c r="G61" i="19"/>
  <c r="G60" i="19"/>
  <c r="G59" i="19"/>
  <c r="G58" i="19"/>
  <c r="G57" i="19"/>
  <c r="G56" i="19"/>
  <c r="G55" i="19"/>
  <c r="G54" i="19"/>
  <c r="G53" i="19"/>
  <c r="G52" i="19"/>
  <c r="G51" i="19"/>
  <c r="G50" i="19"/>
  <c r="G49" i="19"/>
  <c r="G48" i="19"/>
  <c r="G47" i="19"/>
  <c r="G46" i="19"/>
  <c r="G45" i="19"/>
  <c r="G44" i="19"/>
  <c r="G43" i="19"/>
  <c r="G42" i="19"/>
  <c r="G41" i="19"/>
  <c r="G40" i="19"/>
  <c r="G39" i="19"/>
  <c r="G38" i="19"/>
  <c r="G37" i="19"/>
  <c r="G36" i="19"/>
  <c r="G35" i="19"/>
  <c r="G34" i="19"/>
  <c r="G33" i="19"/>
  <c r="G32" i="19"/>
  <c r="G31" i="19"/>
  <c r="G30" i="19"/>
  <c r="G29" i="19"/>
  <c r="G28" i="19"/>
  <c r="G27" i="19"/>
  <c r="G26" i="19"/>
  <c r="G25" i="19"/>
  <c r="G24" i="19"/>
  <c r="AA23" i="19"/>
  <c r="O23" i="19"/>
  <c r="P23" i="19"/>
  <c r="K23" i="19"/>
  <c r="G23" i="19"/>
  <c r="AA22" i="19"/>
  <c r="O22" i="19"/>
  <c r="P22" i="19"/>
  <c r="K22" i="19"/>
  <c r="G22" i="19"/>
  <c r="AA21" i="19"/>
  <c r="O21" i="19"/>
  <c r="P21" i="19"/>
  <c r="K21" i="19"/>
  <c r="G21" i="19"/>
  <c r="AA20" i="19"/>
  <c r="O20" i="19"/>
  <c r="P20" i="19"/>
  <c r="K20" i="19"/>
  <c r="G20" i="19"/>
  <c r="AA19" i="19"/>
  <c r="O19" i="19"/>
  <c r="P19" i="19"/>
  <c r="K19" i="19"/>
  <c r="G19" i="19"/>
  <c r="AA18" i="19"/>
  <c r="P18" i="19"/>
  <c r="O18" i="19"/>
  <c r="K18" i="19"/>
  <c r="G18" i="19"/>
  <c r="AA17" i="19"/>
  <c r="P17" i="19"/>
  <c r="O17" i="19"/>
  <c r="K17" i="19"/>
  <c r="G17" i="19"/>
  <c r="AA16" i="19"/>
  <c r="P16" i="19"/>
  <c r="O16" i="19"/>
  <c r="K16" i="19"/>
  <c r="G16" i="19"/>
  <c r="AA15" i="19"/>
  <c r="P15" i="19"/>
  <c r="O15" i="19"/>
  <c r="K15" i="19"/>
  <c r="G15" i="19"/>
  <c r="AA14" i="19"/>
  <c r="P14" i="19"/>
  <c r="O14" i="19"/>
  <c r="K14" i="19"/>
  <c r="G14" i="19"/>
  <c r="AA13" i="19"/>
  <c r="O13" i="19"/>
  <c r="P13" i="19"/>
  <c r="K13" i="19"/>
  <c r="G13" i="19"/>
  <c r="AA12" i="19"/>
  <c r="O12" i="19"/>
  <c r="P12" i="19"/>
  <c r="Q12" i="19"/>
  <c r="R12" i="19"/>
  <c r="K12" i="19"/>
  <c r="G12" i="19"/>
  <c r="AA11" i="19"/>
  <c r="O11" i="19"/>
  <c r="P11" i="19"/>
  <c r="K11" i="19"/>
  <c r="AD11" i="19"/>
  <c r="AE11" i="19"/>
  <c r="AA10" i="19"/>
  <c r="O10" i="19"/>
  <c r="P10" i="19"/>
  <c r="K10" i="19"/>
  <c r="G10" i="19"/>
  <c r="AD10" i="19"/>
  <c r="AE10" i="19"/>
  <c r="AS9" i="19"/>
  <c r="AQ9" i="19"/>
  <c r="AL9" i="19"/>
  <c r="V9" i="19"/>
  <c r="S9" i="19"/>
  <c r="AC7" i="19"/>
  <c r="AB7" i="19"/>
  <c r="AK7" i="19"/>
  <c r="AM7" i="19"/>
  <c r="AA7" i="19"/>
  <c r="N7" i="19"/>
  <c r="T7" i="19"/>
  <c r="V3" i="19"/>
  <c r="B1" i="19"/>
  <c r="B23" i="52"/>
  <c r="T21" i="52"/>
  <c r="L21" i="52"/>
  <c r="K21" i="52"/>
  <c r="I21" i="52"/>
  <c r="H21" i="52"/>
  <c r="Y19" i="52"/>
  <c r="Z19" i="52"/>
  <c r="AA19" i="52"/>
  <c r="S19" i="52"/>
  <c r="S21" i="52"/>
  <c r="R3" i="52"/>
  <c r="M19" i="52"/>
  <c r="N19" i="52"/>
  <c r="H19" i="52"/>
  <c r="AA18" i="52"/>
  <c r="Z18" i="52"/>
  <c r="Y18" i="52"/>
  <c r="S18" i="52"/>
  <c r="P18" i="52"/>
  <c r="O18" i="52"/>
  <c r="N18" i="52"/>
  <c r="M18" i="52"/>
  <c r="H18" i="52"/>
  <c r="AB17" i="52"/>
  <c r="AC17" i="52"/>
  <c r="AA17" i="52"/>
  <c r="Z17" i="52"/>
  <c r="Y17" i="52"/>
  <c r="S17" i="52"/>
  <c r="P17" i="52"/>
  <c r="O17" i="52"/>
  <c r="N17" i="52"/>
  <c r="M17" i="52"/>
  <c r="H17" i="52"/>
  <c r="AC16" i="52"/>
  <c r="AB16" i="52"/>
  <c r="AA16" i="52"/>
  <c r="Z16" i="52"/>
  <c r="Y16" i="52"/>
  <c r="S16" i="52"/>
  <c r="P16" i="52"/>
  <c r="O16" i="52"/>
  <c r="N16" i="52"/>
  <c r="M16" i="52"/>
  <c r="H16" i="52"/>
  <c r="AB15" i="52"/>
  <c r="AC15" i="52"/>
  <c r="AA15" i="52"/>
  <c r="Z15" i="52"/>
  <c r="Y15" i="52"/>
  <c r="S15" i="52"/>
  <c r="P15" i="52"/>
  <c r="O15" i="52"/>
  <c r="N15" i="52"/>
  <c r="M15" i="52"/>
  <c r="H15" i="52"/>
  <c r="AB14" i="52"/>
  <c r="AC14" i="52"/>
  <c r="AA14" i="52"/>
  <c r="Z14" i="52"/>
  <c r="Y14" i="52"/>
  <c r="S14" i="52"/>
  <c r="P14" i="52"/>
  <c r="O14" i="52"/>
  <c r="N14" i="52"/>
  <c r="M14" i="52"/>
  <c r="H14" i="52"/>
  <c r="AB13" i="52"/>
  <c r="AC13" i="52"/>
  <c r="AA13" i="52"/>
  <c r="Z13" i="52"/>
  <c r="Y13" i="52"/>
  <c r="S13" i="52"/>
  <c r="P13" i="52"/>
  <c r="O13" i="52"/>
  <c r="N13" i="52"/>
  <c r="M13" i="52"/>
  <c r="H13" i="52"/>
  <c r="AA12" i="52"/>
  <c r="Z12" i="52"/>
  <c r="Y12" i="52"/>
  <c r="S12" i="52"/>
  <c r="P12" i="52"/>
  <c r="O12" i="52"/>
  <c r="N12" i="52"/>
  <c r="M12" i="52"/>
  <c r="H12" i="52"/>
  <c r="AB11" i="52"/>
  <c r="AC11" i="52"/>
  <c r="AA11" i="52"/>
  <c r="Z11" i="52"/>
  <c r="Y11" i="52"/>
  <c r="S11" i="52"/>
  <c r="P11" i="52"/>
  <c r="O11" i="52"/>
  <c r="N11" i="52"/>
  <c r="M11" i="52"/>
  <c r="H11" i="52"/>
  <c r="AA10" i="52"/>
  <c r="Z10" i="52"/>
  <c r="Y10" i="52"/>
  <c r="S10" i="52"/>
  <c r="P10" i="52"/>
  <c r="O10" i="52"/>
  <c r="N10" i="52"/>
  <c r="M10" i="52"/>
  <c r="H10" i="52"/>
  <c r="AB9" i="52"/>
  <c r="AB18" i="52"/>
  <c r="AC18" i="52"/>
  <c r="R9" i="52"/>
  <c r="O9" i="52"/>
  <c r="X8" i="52"/>
  <c r="AC7" i="52"/>
  <c r="AA7" i="52"/>
  <c r="Y7" i="52"/>
  <c r="W7" i="52"/>
  <c r="V7" i="52"/>
  <c r="N7" i="52"/>
  <c r="P7" i="52"/>
  <c r="L7" i="52"/>
  <c r="K7" i="52"/>
  <c r="H5" i="52"/>
  <c r="B1" i="52"/>
  <c r="B113" i="56"/>
  <c r="J111" i="56"/>
  <c r="O109" i="56"/>
  <c r="I109" i="56"/>
  <c r="O108" i="56"/>
  <c r="P108" i="56"/>
  <c r="Q108" i="56"/>
  <c r="R108" i="56"/>
  <c r="S108" i="56"/>
  <c r="I108" i="56"/>
  <c r="O107" i="56"/>
  <c r="I107" i="56"/>
  <c r="O106" i="56"/>
  <c r="I106" i="56"/>
  <c r="O105" i="56"/>
  <c r="P105" i="56"/>
  <c r="Q105" i="56"/>
  <c r="R105" i="56"/>
  <c r="S105" i="56"/>
  <c r="I105" i="56"/>
  <c r="O104" i="56"/>
  <c r="I104" i="56"/>
  <c r="O103" i="56"/>
  <c r="I103" i="56"/>
  <c r="O102" i="56"/>
  <c r="P102" i="56"/>
  <c r="Q102" i="56"/>
  <c r="R102" i="56"/>
  <c r="S102" i="56"/>
  <c r="I102" i="56"/>
  <c r="O101" i="56"/>
  <c r="I101" i="56"/>
  <c r="P101" i="56"/>
  <c r="Q101" i="56"/>
  <c r="R101" i="56"/>
  <c r="S101" i="56"/>
  <c r="O100" i="56"/>
  <c r="P100" i="56"/>
  <c r="Q100" i="56"/>
  <c r="R100" i="56"/>
  <c r="S100" i="56"/>
  <c r="I100" i="56"/>
  <c r="O99" i="56"/>
  <c r="P99" i="56"/>
  <c r="Q99" i="56"/>
  <c r="R99" i="56"/>
  <c r="S99" i="56"/>
  <c r="I99" i="56"/>
  <c r="O98" i="56"/>
  <c r="I98" i="56"/>
  <c r="O97" i="56"/>
  <c r="I97" i="56"/>
  <c r="P97" i="56"/>
  <c r="Q97" i="56"/>
  <c r="R97" i="56"/>
  <c r="S97" i="56"/>
  <c r="O96" i="56"/>
  <c r="I96" i="56"/>
  <c r="O95" i="56"/>
  <c r="I95" i="56"/>
  <c r="O94" i="56"/>
  <c r="P94" i="56"/>
  <c r="Q94" i="56"/>
  <c r="R94" i="56"/>
  <c r="S94" i="56"/>
  <c r="I94" i="56"/>
  <c r="O93" i="56"/>
  <c r="I93" i="56"/>
  <c r="P93" i="56"/>
  <c r="Q93" i="56"/>
  <c r="R93" i="56"/>
  <c r="S93" i="56"/>
  <c r="P92" i="56"/>
  <c r="Q92" i="56"/>
  <c r="R92" i="56"/>
  <c r="S92" i="56"/>
  <c r="O92" i="56"/>
  <c r="I92" i="56"/>
  <c r="O91" i="56"/>
  <c r="P91" i="56"/>
  <c r="Q91" i="56"/>
  <c r="R91" i="56"/>
  <c r="S91" i="56"/>
  <c r="I91" i="56"/>
  <c r="O90" i="56"/>
  <c r="I90" i="56"/>
  <c r="O89" i="56"/>
  <c r="P89" i="56"/>
  <c r="Q89" i="56"/>
  <c r="R89" i="56"/>
  <c r="S89" i="56"/>
  <c r="I89" i="56"/>
  <c r="O88" i="56"/>
  <c r="I88" i="56"/>
  <c r="O87" i="56"/>
  <c r="I87" i="56"/>
  <c r="O86" i="56"/>
  <c r="I86" i="56"/>
  <c r="O85" i="56"/>
  <c r="I85" i="56"/>
  <c r="P84" i="56"/>
  <c r="Q84" i="56"/>
  <c r="R84" i="56"/>
  <c r="S84" i="56"/>
  <c r="O84" i="56"/>
  <c r="I84" i="56"/>
  <c r="O83" i="56"/>
  <c r="I83" i="56"/>
  <c r="O82" i="56"/>
  <c r="P82" i="56"/>
  <c r="Q82" i="56"/>
  <c r="R82" i="56"/>
  <c r="S82" i="56"/>
  <c r="I82" i="56"/>
  <c r="O81" i="56"/>
  <c r="P81" i="56"/>
  <c r="Q81" i="56"/>
  <c r="R81" i="56"/>
  <c r="S81" i="56"/>
  <c r="I81" i="56"/>
  <c r="O80" i="56"/>
  <c r="I80" i="56"/>
  <c r="O79" i="56"/>
  <c r="I79" i="56"/>
  <c r="O78" i="56"/>
  <c r="P78" i="56"/>
  <c r="Q78" i="56"/>
  <c r="R78" i="56"/>
  <c r="S78" i="56"/>
  <c r="I78" i="56"/>
  <c r="O77" i="56"/>
  <c r="I77" i="56"/>
  <c r="O76" i="56"/>
  <c r="P76" i="56"/>
  <c r="Q76" i="56"/>
  <c r="R76" i="56"/>
  <c r="S76" i="56"/>
  <c r="I76" i="56"/>
  <c r="O75" i="56"/>
  <c r="P75" i="56"/>
  <c r="Q75" i="56"/>
  <c r="R75" i="56"/>
  <c r="S75" i="56"/>
  <c r="I75" i="56"/>
  <c r="P74" i="56"/>
  <c r="Q74" i="56"/>
  <c r="R74" i="56"/>
  <c r="S74" i="56"/>
  <c r="O74" i="56"/>
  <c r="I74" i="56"/>
  <c r="O73" i="56"/>
  <c r="P73" i="56"/>
  <c r="Q73" i="56"/>
  <c r="R73" i="56"/>
  <c r="S73" i="56"/>
  <c r="I73" i="56"/>
  <c r="O72" i="56"/>
  <c r="P72" i="56"/>
  <c r="Q72" i="56"/>
  <c r="R72" i="56"/>
  <c r="S72" i="56"/>
  <c r="I72" i="56"/>
  <c r="O71" i="56"/>
  <c r="P71" i="56"/>
  <c r="Q71" i="56"/>
  <c r="R71" i="56"/>
  <c r="S71" i="56"/>
  <c r="I71" i="56"/>
  <c r="O70" i="56"/>
  <c r="I70" i="56"/>
  <c r="O69" i="56"/>
  <c r="I69" i="56"/>
  <c r="P69" i="56"/>
  <c r="Q69" i="56"/>
  <c r="R69" i="56"/>
  <c r="S69" i="56"/>
  <c r="O68" i="56"/>
  <c r="P68" i="56"/>
  <c r="Q68" i="56"/>
  <c r="R68" i="56"/>
  <c r="S68" i="56"/>
  <c r="I68" i="56"/>
  <c r="O67" i="56"/>
  <c r="I67" i="56"/>
  <c r="O66" i="56"/>
  <c r="P66" i="56"/>
  <c r="Q66" i="56"/>
  <c r="R66" i="56"/>
  <c r="S66" i="56"/>
  <c r="I66" i="56"/>
  <c r="O65" i="56"/>
  <c r="P65" i="56"/>
  <c r="Q65" i="56"/>
  <c r="R65" i="56"/>
  <c r="S65" i="56"/>
  <c r="I65" i="56"/>
  <c r="O64" i="56"/>
  <c r="I64" i="56"/>
  <c r="O63" i="56"/>
  <c r="I63" i="56"/>
  <c r="O62" i="56"/>
  <c r="P62" i="56"/>
  <c r="Q62" i="56"/>
  <c r="R62" i="56"/>
  <c r="S62" i="56"/>
  <c r="I62" i="56"/>
  <c r="O61" i="56"/>
  <c r="I61" i="56"/>
  <c r="O60" i="56"/>
  <c r="P60" i="56"/>
  <c r="Q60" i="56"/>
  <c r="R60" i="56"/>
  <c r="S60" i="56"/>
  <c r="I60" i="56"/>
  <c r="O59" i="56"/>
  <c r="P59" i="56"/>
  <c r="Q59" i="56"/>
  <c r="R59" i="56"/>
  <c r="S59" i="56"/>
  <c r="I59" i="56"/>
  <c r="P58" i="56"/>
  <c r="Q58" i="56"/>
  <c r="R58" i="56"/>
  <c r="S58" i="56"/>
  <c r="O58" i="56"/>
  <c r="I58" i="56"/>
  <c r="O57" i="56"/>
  <c r="P57" i="56"/>
  <c r="Q57" i="56"/>
  <c r="R57" i="56"/>
  <c r="S57" i="56"/>
  <c r="I57" i="56"/>
  <c r="O56" i="56"/>
  <c r="P56" i="56"/>
  <c r="Q56" i="56"/>
  <c r="R56" i="56"/>
  <c r="S56" i="56"/>
  <c r="I56" i="56"/>
  <c r="O55" i="56"/>
  <c r="P55" i="56"/>
  <c r="Q55" i="56"/>
  <c r="R55" i="56"/>
  <c r="S55" i="56"/>
  <c r="I55" i="56"/>
  <c r="O54" i="56"/>
  <c r="I54" i="56"/>
  <c r="O53" i="56"/>
  <c r="I53" i="56"/>
  <c r="P53" i="56"/>
  <c r="Q53" i="56"/>
  <c r="R53" i="56"/>
  <c r="S53" i="56"/>
  <c r="O52" i="56"/>
  <c r="P52" i="56"/>
  <c r="Q52" i="56"/>
  <c r="R52" i="56"/>
  <c r="S52" i="56"/>
  <c r="I52" i="56"/>
  <c r="O51" i="56"/>
  <c r="I51" i="56"/>
  <c r="O50" i="56"/>
  <c r="P50" i="56"/>
  <c r="Q50" i="56"/>
  <c r="R50" i="56"/>
  <c r="S50" i="56"/>
  <c r="I50" i="56"/>
  <c r="O49" i="56"/>
  <c r="P49" i="56"/>
  <c r="Q49" i="56"/>
  <c r="R49" i="56"/>
  <c r="S49" i="56"/>
  <c r="I49" i="56"/>
  <c r="O48" i="56"/>
  <c r="I48" i="56"/>
  <c r="O47" i="56"/>
  <c r="I47" i="56"/>
  <c r="O46" i="56"/>
  <c r="P46" i="56"/>
  <c r="Q46" i="56"/>
  <c r="R46" i="56"/>
  <c r="S46" i="56"/>
  <c r="I46" i="56"/>
  <c r="O45" i="56"/>
  <c r="I45" i="56"/>
  <c r="O44" i="56"/>
  <c r="P44" i="56"/>
  <c r="Q44" i="56"/>
  <c r="R44" i="56"/>
  <c r="S44" i="56"/>
  <c r="I44" i="56"/>
  <c r="O43" i="56"/>
  <c r="P43" i="56"/>
  <c r="Q43" i="56"/>
  <c r="R43" i="56"/>
  <c r="S43" i="56"/>
  <c r="I43" i="56"/>
  <c r="P42" i="56"/>
  <c r="Q42" i="56"/>
  <c r="R42" i="56"/>
  <c r="S42" i="56"/>
  <c r="O42" i="56"/>
  <c r="I42" i="56"/>
  <c r="O41" i="56"/>
  <c r="P41" i="56"/>
  <c r="Q41" i="56"/>
  <c r="R41" i="56"/>
  <c r="S41" i="56"/>
  <c r="I41" i="56"/>
  <c r="O40" i="56"/>
  <c r="P40" i="56"/>
  <c r="Q40" i="56"/>
  <c r="R40" i="56"/>
  <c r="S40" i="56"/>
  <c r="I40" i="56"/>
  <c r="O39" i="56"/>
  <c r="P39" i="56"/>
  <c r="Q39" i="56"/>
  <c r="R39" i="56"/>
  <c r="S39" i="56"/>
  <c r="I39" i="56"/>
  <c r="O38" i="56"/>
  <c r="I38" i="56"/>
  <c r="O37" i="56"/>
  <c r="I37" i="56"/>
  <c r="P37" i="56"/>
  <c r="Q37" i="56"/>
  <c r="R37" i="56"/>
  <c r="S37" i="56"/>
  <c r="O36" i="56"/>
  <c r="P36" i="56"/>
  <c r="Q36" i="56"/>
  <c r="R36" i="56"/>
  <c r="S36" i="56"/>
  <c r="I36" i="56"/>
  <c r="O35" i="56"/>
  <c r="I35" i="56"/>
  <c r="O34" i="56"/>
  <c r="P34" i="56"/>
  <c r="Q34" i="56"/>
  <c r="R34" i="56"/>
  <c r="S34" i="56"/>
  <c r="I34" i="56"/>
  <c r="O33" i="56"/>
  <c r="P33" i="56"/>
  <c r="Q33" i="56"/>
  <c r="R33" i="56"/>
  <c r="S33" i="56"/>
  <c r="I33" i="56"/>
  <c r="O32" i="56"/>
  <c r="I32" i="56"/>
  <c r="O31" i="56"/>
  <c r="I31" i="56"/>
  <c r="O30" i="56"/>
  <c r="P30" i="56"/>
  <c r="Q30" i="56"/>
  <c r="R30" i="56"/>
  <c r="S30" i="56"/>
  <c r="I30" i="56"/>
  <c r="O29" i="56"/>
  <c r="I29" i="56"/>
  <c r="O28" i="56"/>
  <c r="P28" i="56"/>
  <c r="Q28" i="56"/>
  <c r="R28" i="56"/>
  <c r="S28" i="56"/>
  <c r="I28" i="56"/>
  <c r="O27" i="56"/>
  <c r="P27" i="56"/>
  <c r="Q27" i="56"/>
  <c r="R27" i="56"/>
  <c r="S27" i="56"/>
  <c r="I27" i="56"/>
  <c r="P26" i="56"/>
  <c r="Q26" i="56"/>
  <c r="R26" i="56"/>
  <c r="S26" i="56"/>
  <c r="O26" i="56"/>
  <c r="I26" i="56"/>
  <c r="O25" i="56"/>
  <c r="P25" i="56"/>
  <c r="Q25" i="56"/>
  <c r="R25" i="56"/>
  <c r="S25" i="56"/>
  <c r="I25" i="56"/>
  <c r="O24" i="56"/>
  <c r="P24" i="56"/>
  <c r="Q24" i="56"/>
  <c r="R24" i="56"/>
  <c r="S24" i="56"/>
  <c r="I24" i="56"/>
  <c r="O23" i="56"/>
  <c r="P23" i="56"/>
  <c r="Q23" i="56"/>
  <c r="R23" i="56"/>
  <c r="S23" i="56"/>
  <c r="I23" i="56"/>
  <c r="O22" i="56"/>
  <c r="P22" i="56"/>
  <c r="Q22" i="56"/>
  <c r="R22" i="56"/>
  <c r="S22" i="56"/>
  <c r="I22" i="56"/>
  <c r="O21" i="56"/>
  <c r="I21" i="56"/>
  <c r="O20" i="56"/>
  <c r="P20" i="56"/>
  <c r="Q20" i="56"/>
  <c r="R20" i="56"/>
  <c r="S20" i="56"/>
  <c r="I20" i="56"/>
  <c r="O19" i="56"/>
  <c r="P19" i="56"/>
  <c r="Q19" i="56"/>
  <c r="I19" i="56"/>
  <c r="R18" i="56"/>
  <c r="S18" i="56"/>
  <c r="Q18" i="56"/>
  <c r="P18" i="56"/>
  <c r="O18" i="56"/>
  <c r="I18" i="56"/>
  <c r="R17" i="56"/>
  <c r="S17" i="56"/>
  <c r="Q17" i="56"/>
  <c r="P17" i="56"/>
  <c r="O17" i="56"/>
  <c r="I17" i="56"/>
  <c r="R16" i="56"/>
  <c r="S16" i="56"/>
  <c r="Q16" i="56"/>
  <c r="P16" i="56"/>
  <c r="O16" i="56"/>
  <c r="I16" i="56"/>
  <c r="R15" i="56"/>
  <c r="S15" i="56"/>
  <c r="Q15" i="56"/>
  <c r="P15" i="56"/>
  <c r="O15" i="56"/>
  <c r="I15" i="56"/>
  <c r="R14" i="56"/>
  <c r="S14" i="56"/>
  <c r="Q14" i="56"/>
  <c r="P14" i="56"/>
  <c r="O14" i="56"/>
  <c r="I14" i="56"/>
  <c r="R13" i="56"/>
  <c r="S13" i="56"/>
  <c r="Q13" i="56"/>
  <c r="P13" i="56"/>
  <c r="O13" i="56"/>
  <c r="I13" i="56"/>
  <c r="R12" i="56"/>
  <c r="S12" i="56"/>
  <c r="Q12" i="56"/>
  <c r="P12" i="56"/>
  <c r="O12" i="56"/>
  <c r="I12" i="56"/>
  <c r="R11" i="56"/>
  <c r="S11" i="56"/>
  <c r="Q11" i="56"/>
  <c r="P11" i="56"/>
  <c r="O11" i="56"/>
  <c r="I11" i="56"/>
  <c r="R10" i="56"/>
  <c r="S10" i="56"/>
  <c r="Q10" i="56"/>
  <c r="P10" i="56"/>
  <c r="O10" i="56"/>
  <c r="I10" i="56"/>
  <c r="R9" i="56"/>
  <c r="H9" i="56"/>
  <c r="N8" i="56"/>
  <c r="S7" i="56"/>
  <c r="Q7" i="56"/>
  <c r="O7" i="56"/>
  <c r="M7" i="56"/>
  <c r="L7" i="56"/>
  <c r="B5" i="56"/>
  <c r="B1" i="56"/>
  <c r="B124" i="20"/>
  <c r="U122" i="20"/>
  <c r="L122" i="20"/>
  <c r="K122" i="20"/>
  <c r="I122" i="20"/>
  <c r="Q117" i="20"/>
  <c r="P117" i="20"/>
  <c r="AD116" i="20"/>
  <c r="AC116" i="20"/>
  <c r="AB116" i="20"/>
  <c r="Q116" i="20"/>
  <c r="P116" i="20"/>
  <c r="AC115" i="20"/>
  <c r="AD115" i="20"/>
  <c r="AB115" i="20"/>
  <c r="AA115" i="20"/>
  <c r="Q115" i="20"/>
  <c r="P115" i="20"/>
  <c r="O115" i="20"/>
  <c r="N115" i="20"/>
  <c r="M115" i="20"/>
  <c r="AD114" i="20"/>
  <c r="AC114" i="20"/>
  <c r="AB114" i="20"/>
  <c r="AA114" i="20"/>
  <c r="Q114" i="20"/>
  <c r="P114" i="20"/>
  <c r="O114" i="20"/>
  <c r="N114" i="20"/>
  <c r="M114" i="20"/>
  <c r="AC113" i="20"/>
  <c r="AD113" i="20"/>
  <c r="AB113" i="20"/>
  <c r="AA113" i="20"/>
  <c r="Q113" i="20"/>
  <c r="P113" i="20"/>
  <c r="O113" i="20"/>
  <c r="N113" i="20"/>
  <c r="M113" i="20"/>
  <c r="AB112" i="20"/>
  <c r="AA112" i="20"/>
  <c r="Q112" i="20"/>
  <c r="P112" i="20"/>
  <c r="O112" i="20"/>
  <c r="N112" i="20"/>
  <c r="M112" i="20"/>
  <c r="AB111" i="20"/>
  <c r="AA111" i="20"/>
  <c r="Q111" i="20"/>
  <c r="P111" i="20"/>
  <c r="O111" i="20"/>
  <c r="N111" i="20"/>
  <c r="M111" i="20"/>
  <c r="Z109" i="20"/>
  <c r="T109" i="20"/>
  <c r="B144" i="51"/>
  <c r="F144" i="51"/>
  <c r="M109" i="20"/>
  <c r="H109" i="20"/>
  <c r="Z108" i="20"/>
  <c r="T108" i="20"/>
  <c r="B143" i="51"/>
  <c r="F143" i="51"/>
  <c r="M108" i="20"/>
  <c r="H108" i="20"/>
  <c r="Z107" i="20"/>
  <c r="T107" i="20"/>
  <c r="B142" i="51"/>
  <c r="F142" i="51"/>
  <c r="M107" i="20"/>
  <c r="H107" i="20"/>
  <c r="Z106" i="20"/>
  <c r="T106" i="20"/>
  <c r="B141" i="51"/>
  <c r="F141" i="51"/>
  <c r="M106" i="20"/>
  <c r="H106" i="20"/>
  <c r="Z105" i="20"/>
  <c r="T105" i="20"/>
  <c r="B140" i="51"/>
  <c r="F140" i="51"/>
  <c r="M105" i="20"/>
  <c r="H105" i="20"/>
  <c r="Z104" i="20"/>
  <c r="AA104" i="20"/>
  <c r="AB104" i="20"/>
  <c r="T104" i="20"/>
  <c r="B139" i="51"/>
  <c r="F139" i="51"/>
  <c r="M104" i="20"/>
  <c r="H104" i="20"/>
  <c r="Z103" i="20"/>
  <c r="AA103" i="20"/>
  <c r="AB103" i="20"/>
  <c r="C138" i="51"/>
  <c r="T103" i="20"/>
  <c r="B138" i="51"/>
  <c r="F138" i="51"/>
  <c r="M103" i="20"/>
  <c r="H103" i="20"/>
  <c r="Z102" i="20"/>
  <c r="AA102" i="20"/>
  <c r="AB102" i="20"/>
  <c r="C137" i="51"/>
  <c r="T102" i="20"/>
  <c r="B137" i="51"/>
  <c r="F137" i="51"/>
  <c r="M102" i="20"/>
  <c r="H102" i="20"/>
  <c r="Z101" i="20"/>
  <c r="T101" i="20"/>
  <c r="B136" i="51"/>
  <c r="F136" i="51"/>
  <c r="M101" i="20"/>
  <c r="O101" i="20"/>
  <c r="P101" i="20"/>
  <c r="Q101" i="20"/>
  <c r="H101" i="20"/>
  <c r="Z100" i="20"/>
  <c r="T100" i="20"/>
  <c r="B135" i="51"/>
  <c r="F135" i="51"/>
  <c r="M100" i="20"/>
  <c r="H100" i="20"/>
  <c r="Z99" i="20"/>
  <c r="T99" i="20"/>
  <c r="B134" i="51"/>
  <c r="F134" i="51"/>
  <c r="M99" i="20"/>
  <c r="O99" i="20"/>
  <c r="P99" i="20"/>
  <c r="Q99" i="20"/>
  <c r="H99" i="20"/>
  <c r="Z98" i="20"/>
  <c r="AA98" i="20"/>
  <c r="AB98" i="20"/>
  <c r="T98" i="20"/>
  <c r="B133" i="51"/>
  <c r="F133" i="51"/>
  <c r="M98" i="20"/>
  <c r="H98" i="20"/>
  <c r="Z97" i="20"/>
  <c r="T97" i="20"/>
  <c r="B132" i="51"/>
  <c r="F132" i="51"/>
  <c r="M97" i="20"/>
  <c r="H97" i="20"/>
  <c r="Z96" i="20"/>
  <c r="T96" i="20"/>
  <c r="B131" i="51"/>
  <c r="F131" i="51"/>
  <c r="M96" i="20"/>
  <c r="H96" i="20"/>
  <c r="Z95" i="20"/>
  <c r="T95" i="20"/>
  <c r="B130" i="51"/>
  <c r="F130" i="51"/>
  <c r="M95" i="20"/>
  <c r="H95" i="20"/>
  <c r="Z94" i="20"/>
  <c r="AA94" i="20"/>
  <c r="AB94" i="20"/>
  <c r="T94" i="20"/>
  <c r="B129" i="51"/>
  <c r="F129" i="51"/>
  <c r="M94" i="20"/>
  <c r="H94" i="20"/>
  <c r="Z93" i="20"/>
  <c r="T93" i="20"/>
  <c r="B128" i="51"/>
  <c r="F128" i="51"/>
  <c r="M93" i="20"/>
  <c r="H93" i="20"/>
  <c r="Z92" i="20"/>
  <c r="AA92" i="20"/>
  <c r="AB92" i="20"/>
  <c r="T92" i="20"/>
  <c r="B127" i="51"/>
  <c r="F127" i="51"/>
  <c r="M92" i="20"/>
  <c r="H92" i="20"/>
  <c r="Z91" i="20"/>
  <c r="T91" i="20"/>
  <c r="B126" i="51"/>
  <c r="F126" i="51"/>
  <c r="M91" i="20"/>
  <c r="H91" i="20"/>
  <c r="Z90" i="20"/>
  <c r="AA90" i="20"/>
  <c r="AB90" i="20"/>
  <c r="C125" i="51"/>
  <c r="T90" i="20"/>
  <c r="B125" i="51"/>
  <c r="F125" i="51"/>
  <c r="M90" i="20"/>
  <c r="H90" i="20"/>
  <c r="Z89" i="20"/>
  <c r="T89" i="20"/>
  <c r="B124" i="51"/>
  <c r="F124" i="51"/>
  <c r="M89" i="20"/>
  <c r="H89" i="20"/>
  <c r="Z88" i="20"/>
  <c r="AA88" i="20"/>
  <c r="AB88" i="20"/>
  <c r="T88" i="20"/>
  <c r="B123" i="51"/>
  <c r="F123" i="51"/>
  <c r="M88" i="20"/>
  <c r="H88" i="20"/>
  <c r="Z87" i="20"/>
  <c r="T87" i="20"/>
  <c r="B122" i="51"/>
  <c r="F122" i="51"/>
  <c r="M87" i="20"/>
  <c r="H87" i="20"/>
  <c r="Z86" i="20"/>
  <c r="T86" i="20"/>
  <c r="B121" i="51"/>
  <c r="F121" i="51"/>
  <c r="M86" i="20"/>
  <c r="H86" i="20"/>
  <c r="Z85" i="20"/>
  <c r="T85" i="20"/>
  <c r="B120" i="51"/>
  <c r="F120" i="51"/>
  <c r="M85" i="20"/>
  <c r="H85" i="20"/>
  <c r="Z84" i="20"/>
  <c r="T84" i="20"/>
  <c r="B119" i="51"/>
  <c r="F119" i="51"/>
  <c r="M84" i="20"/>
  <c r="H84" i="20"/>
  <c r="Z83" i="20"/>
  <c r="T83" i="20"/>
  <c r="B118" i="51"/>
  <c r="F118" i="51"/>
  <c r="M83" i="20"/>
  <c r="H83" i="20"/>
  <c r="Z82" i="20"/>
  <c r="AA82" i="20"/>
  <c r="AB82" i="20"/>
  <c r="T82" i="20"/>
  <c r="B117" i="51"/>
  <c r="F117" i="51"/>
  <c r="M82" i="20"/>
  <c r="H82" i="20"/>
  <c r="Z81" i="20"/>
  <c r="T81" i="20"/>
  <c r="B116" i="51"/>
  <c r="F116" i="51"/>
  <c r="M81" i="20"/>
  <c r="N81" i="20"/>
  <c r="H81" i="20"/>
  <c r="Z80" i="20"/>
  <c r="T80" i="20"/>
  <c r="B115" i="51"/>
  <c r="F115" i="51"/>
  <c r="M80" i="20"/>
  <c r="H80" i="20"/>
  <c r="Z79" i="20"/>
  <c r="T79" i="20"/>
  <c r="B114" i="51"/>
  <c r="F114" i="51"/>
  <c r="M79" i="20"/>
  <c r="H79" i="20"/>
  <c r="Z78" i="20"/>
  <c r="T78" i="20"/>
  <c r="B113" i="51"/>
  <c r="F113" i="51"/>
  <c r="M78" i="20"/>
  <c r="H78" i="20"/>
  <c r="Z77" i="20"/>
  <c r="AA77" i="20"/>
  <c r="AB77" i="20"/>
  <c r="T77" i="20"/>
  <c r="B112" i="51"/>
  <c r="F112" i="51"/>
  <c r="M77" i="20"/>
  <c r="H77" i="20"/>
  <c r="Z76" i="20"/>
  <c r="T76" i="20"/>
  <c r="B111" i="51"/>
  <c r="F111" i="51"/>
  <c r="M76" i="20"/>
  <c r="H76" i="20"/>
  <c r="Z75" i="20"/>
  <c r="T75" i="20"/>
  <c r="B110" i="51"/>
  <c r="F110" i="51"/>
  <c r="M75" i="20"/>
  <c r="H75" i="20"/>
  <c r="Z74" i="20"/>
  <c r="T74" i="20"/>
  <c r="B109" i="51"/>
  <c r="F109" i="51"/>
  <c r="M74" i="20"/>
  <c r="H74" i="20"/>
  <c r="Z73" i="20"/>
  <c r="T73" i="20"/>
  <c r="B108" i="51"/>
  <c r="F108" i="51"/>
  <c r="M73" i="20"/>
  <c r="H73" i="20"/>
  <c r="Z72" i="20"/>
  <c r="T72" i="20"/>
  <c r="B107" i="51"/>
  <c r="F107" i="51"/>
  <c r="M72" i="20"/>
  <c r="H72" i="20"/>
  <c r="Z71" i="20"/>
  <c r="T71" i="20"/>
  <c r="B106" i="51"/>
  <c r="F106" i="51"/>
  <c r="M71" i="20"/>
  <c r="H71" i="20"/>
  <c r="Z70" i="20"/>
  <c r="T70" i="20"/>
  <c r="B105" i="51"/>
  <c r="F105" i="51"/>
  <c r="M70" i="20"/>
  <c r="H70" i="20"/>
  <c r="Z69" i="20"/>
  <c r="AA69" i="20"/>
  <c r="AB69" i="20"/>
  <c r="C104" i="51"/>
  <c r="T69" i="20"/>
  <c r="B104" i="51"/>
  <c r="F104" i="51"/>
  <c r="M69" i="20"/>
  <c r="H69" i="20"/>
  <c r="Z68" i="20"/>
  <c r="T68" i="20"/>
  <c r="B103" i="51"/>
  <c r="F103" i="51"/>
  <c r="M68" i="20"/>
  <c r="H68" i="20"/>
  <c r="Z67" i="20"/>
  <c r="AA67" i="20"/>
  <c r="AB67" i="20"/>
  <c r="T67" i="20"/>
  <c r="B102" i="51"/>
  <c r="F102" i="51"/>
  <c r="M67" i="20"/>
  <c r="H67" i="20"/>
  <c r="Z66" i="20"/>
  <c r="T66" i="20"/>
  <c r="B101" i="51"/>
  <c r="F101" i="51"/>
  <c r="M66" i="20"/>
  <c r="H66" i="20"/>
  <c r="Z65" i="20"/>
  <c r="T65" i="20"/>
  <c r="B100" i="51"/>
  <c r="F100" i="51"/>
  <c r="M65" i="20"/>
  <c r="H65" i="20"/>
  <c r="Z64" i="20"/>
  <c r="T64" i="20"/>
  <c r="B99" i="51"/>
  <c r="F99" i="51"/>
  <c r="M64" i="20"/>
  <c r="H64" i="20"/>
  <c r="Z63" i="20"/>
  <c r="T63" i="20"/>
  <c r="B98" i="51"/>
  <c r="F98" i="51"/>
  <c r="M63" i="20"/>
  <c r="H63" i="20"/>
  <c r="O63" i="20"/>
  <c r="P63" i="20"/>
  <c r="Q63" i="20"/>
  <c r="Z62" i="20"/>
  <c r="T62" i="20"/>
  <c r="B97" i="51"/>
  <c r="F97" i="51"/>
  <c r="M62" i="20"/>
  <c r="H62" i="20"/>
  <c r="Z61" i="20"/>
  <c r="T61" i="20"/>
  <c r="B96" i="51"/>
  <c r="F96" i="51"/>
  <c r="M61" i="20"/>
  <c r="H61" i="20"/>
  <c r="Z60" i="20"/>
  <c r="T60" i="20"/>
  <c r="B95" i="51"/>
  <c r="F95" i="51"/>
  <c r="M60" i="20"/>
  <c r="H60" i="20"/>
  <c r="Z59" i="20"/>
  <c r="T59" i="20"/>
  <c r="B94" i="51"/>
  <c r="F94" i="51"/>
  <c r="M59" i="20"/>
  <c r="H59" i="20"/>
  <c r="Z58" i="20"/>
  <c r="T58" i="20"/>
  <c r="B93" i="51"/>
  <c r="F93" i="51"/>
  <c r="M58" i="20"/>
  <c r="H58" i="20"/>
  <c r="Z57" i="20"/>
  <c r="T57" i="20"/>
  <c r="B92" i="51"/>
  <c r="F92" i="51"/>
  <c r="M57" i="20"/>
  <c r="H57" i="20"/>
  <c r="Z56" i="20"/>
  <c r="T56" i="20"/>
  <c r="B91" i="51"/>
  <c r="F91" i="51"/>
  <c r="M56" i="20"/>
  <c r="H56" i="20"/>
  <c r="Z55" i="20"/>
  <c r="T55" i="20"/>
  <c r="B90" i="51"/>
  <c r="F90" i="51"/>
  <c r="M55" i="20"/>
  <c r="H55" i="20"/>
  <c r="Z54" i="20"/>
  <c r="T54" i="20"/>
  <c r="B89" i="51"/>
  <c r="F89" i="51"/>
  <c r="M54" i="20"/>
  <c r="H54" i="20"/>
  <c r="Z53" i="20"/>
  <c r="T53" i="20"/>
  <c r="B88" i="51"/>
  <c r="F88" i="51"/>
  <c r="M53" i="20"/>
  <c r="H53" i="20"/>
  <c r="Z52" i="20"/>
  <c r="T52" i="20"/>
  <c r="B87" i="51"/>
  <c r="F87" i="51"/>
  <c r="M52" i="20"/>
  <c r="H52" i="20"/>
  <c r="Z51" i="20"/>
  <c r="T51" i="20"/>
  <c r="B86" i="51"/>
  <c r="F86" i="51"/>
  <c r="M51" i="20"/>
  <c r="H51" i="20"/>
  <c r="Z50" i="20"/>
  <c r="T50" i="20"/>
  <c r="B85" i="51"/>
  <c r="F85" i="51"/>
  <c r="M50" i="20"/>
  <c r="H50" i="20"/>
  <c r="Z49" i="20"/>
  <c r="T49" i="20"/>
  <c r="B84" i="51"/>
  <c r="F84" i="51"/>
  <c r="M49" i="20"/>
  <c r="H49" i="20"/>
  <c r="Z48" i="20"/>
  <c r="T48" i="20"/>
  <c r="B83" i="51"/>
  <c r="F83" i="51"/>
  <c r="M48" i="20"/>
  <c r="H48" i="20"/>
  <c r="Z47" i="20"/>
  <c r="T47" i="20"/>
  <c r="B82" i="51"/>
  <c r="F82" i="51"/>
  <c r="M47" i="20"/>
  <c r="H47" i="20"/>
  <c r="O47" i="20"/>
  <c r="P47" i="20"/>
  <c r="Q47" i="20"/>
  <c r="Z46" i="20"/>
  <c r="T46" i="20"/>
  <c r="B81" i="51"/>
  <c r="F81" i="51"/>
  <c r="M46" i="20"/>
  <c r="H46" i="20"/>
  <c r="Z45" i="20"/>
  <c r="T45" i="20"/>
  <c r="B80" i="51"/>
  <c r="F80" i="51"/>
  <c r="M45" i="20"/>
  <c r="H45" i="20"/>
  <c r="O45" i="20"/>
  <c r="P45" i="20"/>
  <c r="Q45" i="20"/>
  <c r="Z44" i="20"/>
  <c r="T44" i="20"/>
  <c r="B79" i="51"/>
  <c r="F79" i="51"/>
  <c r="M44" i="20"/>
  <c r="H44" i="20"/>
  <c r="Z43" i="20"/>
  <c r="T43" i="20"/>
  <c r="B78" i="51"/>
  <c r="F78" i="51"/>
  <c r="M43" i="20"/>
  <c r="H43" i="20"/>
  <c r="Z42" i="20"/>
  <c r="T42" i="20"/>
  <c r="B77" i="51"/>
  <c r="F77" i="51"/>
  <c r="M42" i="20"/>
  <c r="H42" i="20"/>
  <c r="Z41" i="20"/>
  <c r="T41" i="20"/>
  <c r="B76" i="51"/>
  <c r="F76" i="51"/>
  <c r="M41" i="20"/>
  <c r="H41" i="20"/>
  <c r="Z40" i="20"/>
  <c r="T40" i="20"/>
  <c r="B75" i="51"/>
  <c r="F75" i="51"/>
  <c r="M40" i="20"/>
  <c r="H40" i="20"/>
  <c r="Z39" i="20"/>
  <c r="T39" i="20"/>
  <c r="B74" i="51"/>
  <c r="F74" i="51"/>
  <c r="M39" i="20"/>
  <c r="H39" i="20"/>
  <c r="Z38" i="20"/>
  <c r="T38" i="20"/>
  <c r="B73" i="51"/>
  <c r="F73" i="51"/>
  <c r="M38" i="20"/>
  <c r="H38" i="20"/>
  <c r="Z37" i="20"/>
  <c r="T37" i="20"/>
  <c r="B72" i="51"/>
  <c r="F72" i="51"/>
  <c r="M37" i="20"/>
  <c r="H37" i="20"/>
  <c r="Z36" i="20"/>
  <c r="T36" i="20"/>
  <c r="B71" i="51"/>
  <c r="F71" i="51"/>
  <c r="M36" i="20"/>
  <c r="H36" i="20"/>
  <c r="Z35" i="20"/>
  <c r="T35" i="20"/>
  <c r="B70" i="51"/>
  <c r="F70" i="51"/>
  <c r="M35" i="20"/>
  <c r="H35" i="20"/>
  <c r="Z34" i="20"/>
  <c r="AA34" i="20"/>
  <c r="AB34" i="20"/>
  <c r="C69" i="51"/>
  <c r="T34" i="20"/>
  <c r="B69" i="51"/>
  <c r="F69" i="51"/>
  <c r="M34" i="20"/>
  <c r="H34" i="20"/>
  <c r="Z33" i="20"/>
  <c r="T33" i="20"/>
  <c r="B68" i="51"/>
  <c r="F68" i="51"/>
  <c r="M33" i="20"/>
  <c r="H33" i="20"/>
  <c r="Z32" i="20"/>
  <c r="T32" i="20"/>
  <c r="B67" i="51"/>
  <c r="F67" i="51"/>
  <c r="M32" i="20"/>
  <c r="H32" i="20"/>
  <c r="Z31" i="20"/>
  <c r="T31" i="20"/>
  <c r="B66" i="51"/>
  <c r="F66" i="51"/>
  <c r="M31" i="20"/>
  <c r="H31" i="20"/>
  <c r="Z30" i="20"/>
  <c r="T30" i="20"/>
  <c r="B65" i="51"/>
  <c r="F65" i="51"/>
  <c r="M30" i="20"/>
  <c r="H30" i="20"/>
  <c r="Z29" i="20"/>
  <c r="AA29" i="20"/>
  <c r="AB29" i="20"/>
  <c r="C64" i="51"/>
  <c r="T29" i="20"/>
  <c r="B64" i="51"/>
  <c r="F64" i="51"/>
  <c r="M29" i="20"/>
  <c r="H29" i="20"/>
  <c r="Z28" i="20"/>
  <c r="T28" i="20"/>
  <c r="M28" i="20"/>
  <c r="H28" i="20"/>
  <c r="Z27" i="20"/>
  <c r="AA27" i="20"/>
  <c r="AB27" i="20"/>
  <c r="T27" i="20"/>
  <c r="B62" i="51"/>
  <c r="F62" i="51"/>
  <c r="M27" i="20"/>
  <c r="H27" i="20"/>
  <c r="Z26" i="20"/>
  <c r="T26" i="20"/>
  <c r="B61" i="51"/>
  <c r="F61" i="51"/>
  <c r="M26" i="20"/>
  <c r="H26" i="20"/>
  <c r="O26" i="20"/>
  <c r="P26" i="20"/>
  <c r="Q26" i="20"/>
  <c r="Z25" i="20"/>
  <c r="T25" i="20"/>
  <c r="B60" i="51"/>
  <c r="F60" i="51"/>
  <c r="M25" i="20"/>
  <c r="H25" i="20"/>
  <c r="Z24" i="20"/>
  <c r="T24" i="20"/>
  <c r="B59" i="51"/>
  <c r="F59" i="51"/>
  <c r="M24" i="20"/>
  <c r="H24" i="20"/>
  <c r="O24" i="20"/>
  <c r="Z23" i="20"/>
  <c r="T23" i="20"/>
  <c r="B58" i="51"/>
  <c r="F58" i="51"/>
  <c r="N23" i="20"/>
  <c r="M23" i="20"/>
  <c r="H23" i="20"/>
  <c r="Z22" i="20"/>
  <c r="T22" i="20"/>
  <c r="B57" i="51"/>
  <c r="F57" i="51"/>
  <c r="M22" i="20"/>
  <c r="H22" i="20"/>
  <c r="N22" i="20"/>
  <c r="Z21" i="20"/>
  <c r="T21" i="20"/>
  <c r="B56" i="51"/>
  <c r="F56" i="51"/>
  <c r="M21" i="20"/>
  <c r="O21" i="20"/>
  <c r="P21" i="20"/>
  <c r="Q21" i="20"/>
  <c r="H21" i="20"/>
  <c r="Z20" i="20"/>
  <c r="T20" i="20"/>
  <c r="B55" i="51"/>
  <c r="F55" i="51"/>
  <c r="M20" i="20"/>
  <c r="H20" i="20"/>
  <c r="N20" i="20"/>
  <c r="AA19" i="20"/>
  <c r="AB19" i="20"/>
  <c r="Z19" i="20"/>
  <c r="T19" i="20"/>
  <c r="B54" i="51"/>
  <c r="F54" i="51"/>
  <c r="O19" i="20"/>
  <c r="P19" i="20"/>
  <c r="Q19" i="20"/>
  <c r="N19" i="20"/>
  <c r="M19" i="20"/>
  <c r="H19" i="20"/>
  <c r="AB18" i="20"/>
  <c r="C53" i="51"/>
  <c r="AA18" i="20"/>
  <c r="Z18" i="20"/>
  <c r="T18" i="20"/>
  <c r="P18" i="20"/>
  <c r="Q18" i="20"/>
  <c r="O18" i="20"/>
  <c r="N18" i="20"/>
  <c r="M18" i="20"/>
  <c r="H18" i="20"/>
  <c r="AB17" i="20"/>
  <c r="C52" i="51"/>
  <c r="AA17" i="20"/>
  <c r="Z17" i="20"/>
  <c r="T17" i="20"/>
  <c r="P17" i="20"/>
  <c r="Q17" i="20"/>
  <c r="O17" i="20"/>
  <c r="N17" i="20"/>
  <c r="M17" i="20"/>
  <c r="H17" i="20"/>
  <c r="AB16" i="20"/>
  <c r="C51" i="51"/>
  <c r="AA16" i="20"/>
  <c r="Z16" i="20"/>
  <c r="T16" i="20"/>
  <c r="O16" i="20"/>
  <c r="P16" i="20"/>
  <c r="Q16" i="20"/>
  <c r="N16" i="20"/>
  <c r="M16" i="20"/>
  <c r="H16" i="20"/>
  <c r="AB15" i="20"/>
  <c r="C50" i="51"/>
  <c r="AA15" i="20"/>
  <c r="Z15" i="20"/>
  <c r="T15" i="20"/>
  <c r="O15" i="20"/>
  <c r="P15" i="20"/>
  <c r="Q15" i="20"/>
  <c r="N15" i="20"/>
  <c r="M15" i="20"/>
  <c r="H15" i="20"/>
  <c r="Z14" i="20"/>
  <c r="T14" i="20"/>
  <c r="B49" i="51"/>
  <c r="F49" i="51"/>
  <c r="O14" i="20"/>
  <c r="P14" i="20"/>
  <c r="Q14" i="20"/>
  <c r="N14" i="20"/>
  <c r="M14" i="20"/>
  <c r="H14" i="20"/>
  <c r="Z13" i="20"/>
  <c r="AA13" i="20"/>
  <c r="AB13" i="20"/>
  <c r="T13" i="20"/>
  <c r="B48" i="51"/>
  <c r="F48" i="51"/>
  <c r="O13" i="20"/>
  <c r="P13" i="20"/>
  <c r="Q13" i="20"/>
  <c r="N13" i="20"/>
  <c r="M13" i="20"/>
  <c r="H13" i="20"/>
  <c r="Z12" i="20"/>
  <c r="T12" i="20"/>
  <c r="B47" i="51"/>
  <c r="F47" i="51"/>
  <c r="O12" i="20"/>
  <c r="P12" i="20"/>
  <c r="Q12" i="20"/>
  <c r="N12" i="20"/>
  <c r="M12" i="20"/>
  <c r="H12" i="20"/>
  <c r="Z11" i="20"/>
  <c r="T11" i="20"/>
  <c r="B46" i="51"/>
  <c r="F46" i="51"/>
  <c r="O11" i="20"/>
  <c r="P11" i="20"/>
  <c r="Q11" i="20"/>
  <c r="N11" i="20"/>
  <c r="M11" i="20"/>
  <c r="H11" i="20"/>
  <c r="Z10" i="20"/>
  <c r="T10" i="20"/>
  <c r="B45" i="51"/>
  <c r="Q10" i="20"/>
  <c r="P10" i="20"/>
  <c r="O10" i="20"/>
  <c r="N10" i="20"/>
  <c r="M10" i="20"/>
  <c r="H10" i="20"/>
  <c r="AJ9" i="20"/>
  <c r="AH9" i="20"/>
  <c r="AC9" i="20"/>
  <c r="AC112" i="20"/>
  <c r="AD112" i="20"/>
  <c r="S9" i="20"/>
  <c r="P9" i="20"/>
  <c r="Y8" i="20"/>
  <c r="AD7" i="20"/>
  <c r="AB7" i="20"/>
  <c r="Z7" i="20"/>
  <c r="X7" i="20"/>
  <c r="W7" i="20"/>
  <c r="L7" i="20"/>
  <c r="K7" i="20"/>
  <c r="O7" i="20"/>
  <c r="Q7" i="20"/>
  <c r="S5" i="20"/>
  <c r="I5" i="57"/>
  <c r="H5" i="20"/>
  <c r="I5" i="53"/>
  <c r="B1" i="20"/>
  <c r="A1" i="38"/>
  <c r="D37" i="29"/>
  <c r="G31" i="29"/>
  <c r="G37" i="29"/>
  <c r="F25" i="29"/>
  <c r="J51" i="3"/>
  <c r="G23" i="29"/>
  <c r="E23" i="29"/>
  <c r="D23" i="29"/>
  <c r="F17" i="29"/>
  <c r="I17" i="29"/>
  <c r="F16" i="29"/>
  <c r="I16" i="29"/>
  <c r="F15" i="29"/>
  <c r="I15" i="29"/>
  <c r="F14" i="29"/>
  <c r="I14" i="29"/>
  <c r="F13" i="29"/>
  <c r="I13" i="29"/>
  <c r="F12" i="29"/>
  <c r="I12" i="29"/>
  <c r="F11" i="29"/>
  <c r="G6" i="29"/>
  <c r="F6" i="29"/>
  <c r="E6" i="29"/>
  <c r="E31" i="29"/>
  <c r="E37" i="29"/>
  <c r="F37" i="29"/>
  <c r="J25" i="3"/>
  <c r="D6" i="29"/>
  <c r="A1" i="29"/>
  <c r="F85" i="3"/>
  <c r="Q57" i="3"/>
  <c r="N57" i="3"/>
  <c r="J57" i="3"/>
  <c r="Q53" i="3"/>
  <c r="N51" i="3"/>
  <c r="H34" i="55"/>
  <c r="Q49" i="3"/>
  <c r="Q47" i="3"/>
  <c r="Q45" i="3"/>
  <c r="N45" i="3"/>
  <c r="J45" i="3"/>
  <c r="Q41" i="3"/>
  <c r="Q36" i="3"/>
  <c r="L30" i="3"/>
  <c r="H30" i="3"/>
  <c r="F30" i="3"/>
  <c r="N23" i="3"/>
  <c r="F19" i="3"/>
  <c r="A13" i="3"/>
  <c r="P12" i="3"/>
  <c r="P10" i="3"/>
  <c r="J10" i="3"/>
  <c r="G3" i="50"/>
  <c r="D10" i="3"/>
  <c r="D10" i="55"/>
  <c r="P8" i="3"/>
  <c r="N8" i="3"/>
  <c r="L8" i="3"/>
  <c r="J8" i="3"/>
  <c r="D8" i="3"/>
  <c r="F8" i="55"/>
  <c r="P6" i="3"/>
  <c r="L6" i="3"/>
  <c r="M8" i="55"/>
  <c r="J6" i="3"/>
  <c r="H8" i="55"/>
  <c r="P4" i="3"/>
  <c r="N4" i="3"/>
  <c r="J4" i="3"/>
  <c r="K8" i="55"/>
  <c r="AE2" i="3"/>
  <c r="I25" i="51"/>
  <c r="K35" i="51"/>
  <c r="N25" i="3"/>
  <c r="Q25" i="3"/>
  <c r="I37" i="29"/>
  <c r="V5" i="19"/>
  <c r="T5" i="53"/>
  <c r="O7" i="19"/>
  <c r="Q7" i="19"/>
  <c r="R7" i="19"/>
  <c r="M7" i="53"/>
  <c r="O7" i="53"/>
  <c r="P7" i="53"/>
  <c r="R5" i="52"/>
  <c r="H5" i="56"/>
  <c r="K5" i="19"/>
  <c r="P21" i="56"/>
  <c r="Q21" i="56"/>
  <c r="R21" i="56"/>
  <c r="S21" i="56"/>
  <c r="AA38" i="20"/>
  <c r="AB38" i="20"/>
  <c r="AA40" i="20"/>
  <c r="AB40" i="20"/>
  <c r="AA44" i="20"/>
  <c r="AB44" i="20"/>
  <c r="C79" i="51"/>
  <c r="AA46" i="20"/>
  <c r="AB46" i="20"/>
  <c r="C81" i="51"/>
  <c r="AA50" i="20"/>
  <c r="AB50" i="20"/>
  <c r="AA52" i="20"/>
  <c r="AB52" i="20"/>
  <c r="C87" i="51"/>
  <c r="AA54" i="20"/>
  <c r="AB54" i="20"/>
  <c r="AA58" i="20"/>
  <c r="AB58" i="20"/>
  <c r="C93" i="51"/>
  <c r="AA68" i="20"/>
  <c r="AB68" i="20"/>
  <c r="C103" i="51"/>
  <c r="O85" i="20"/>
  <c r="P85" i="20"/>
  <c r="Q85" i="20"/>
  <c r="O87" i="20"/>
  <c r="P87" i="20"/>
  <c r="Q87" i="20"/>
  <c r="O89" i="20"/>
  <c r="P89" i="20"/>
  <c r="Q89" i="20"/>
  <c r="AA106" i="20"/>
  <c r="AB106" i="20"/>
  <c r="C141" i="51"/>
  <c r="AA35" i="20"/>
  <c r="AB35" i="20"/>
  <c r="AC35" i="20"/>
  <c r="AD35" i="20"/>
  <c r="AA37" i="20"/>
  <c r="AB37" i="20"/>
  <c r="AA41" i="20"/>
  <c r="AB41" i="20"/>
  <c r="AC41" i="20"/>
  <c r="AD41" i="20"/>
  <c r="AA43" i="20"/>
  <c r="AB43" i="20"/>
  <c r="AA47" i="20"/>
  <c r="AB47" i="20"/>
  <c r="AA55" i="20"/>
  <c r="AB55" i="20"/>
  <c r="C90" i="51"/>
  <c r="AA57" i="20"/>
  <c r="AB57" i="20"/>
  <c r="AA59" i="20"/>
  <c r="AB59" i="20"/>
  <c r="AA83" i="20"/>
  <c r="AB83" i="20"/>
  <c r="C118" i="51"/>
  <c r="AA80" i="20"/>
  <c r="AB80" i="20"/>
  <c r="C115" i="51"/>
  <c r="AA105" i="20"/>
  <c r="AB105" i="20"/>
  <c r="AC105" i="20"/>
  <c r="AD105" i="20"/>
  <c r="AA107" i="20"/>
  <c r="AB107" i="20"/>
  <c r="C142" i="51"/>
  <c r="AA109" i="20"/>
  <c r="AB109" i="20"/>
  <c r="C144" i="51"/>
  <c r="O31" i="20"/>
  <c r="P31" i="20"/>
  <c r="Q31" i="20"/>
  <c r="AA66" i="20"/>
  <c r="AB66" i="20"/>
  <c r="C101" i="51"/>
  <c r="AA85" i="20"/>
  <c r="AB85" i="20"/>
  <c r="AC85" i="20"/>
  <c r="AD85" i="20"/>
  <c r="AA89" i="20"/>
  <c r="AB89" i="20"/>
  <c r="AC89" i="20"/>
  <c r="AD89" i="20"/>
  <c r="O39" i="20"/>
  <c r="P39" i="20"/>
  <c r="Q39" i="20"/>
  <c r="N53" i="20"/>
  <c r="AA74" i="20"/>
  <c r="AB74" i="20"/>
  <c r="AA76" i="20"/>
  <c r="AB76" i="20"/>
  <c r="C111" i="51"/>
  <c r="AA95" i="20"/>
  <c r="AB95" i="20"/>
  <c r="C130" i="51"/>
  <c r="AA97" i="20"/>
  <c r="AB97" i="20"/>
  <c r="AC97" i="20"/>
  <c r="AD97" i="20"/>
  <c r="O73" i="20"/>
  <c r="P73" i="20"/>
  <c r="Q73" i="20"/>
  <c r="AA101" i="20"/>
  <c r="AB101" i="20"/>
  <c r="AC101" i="20"/>
  <c r="AD101" i="20"/>
  <c r="AA87" i="20"/>
  <c r="AB87" i="20"/>
  <c r="C122" i="51"/>
  <c r="O32" i="20"/>
  <c r="P32" i="20"/>
  <c r="Q32" i="20"/>
  <c r="N83" i="20"/>
  <c r="AC15" i="20"/>
  <c r="AD15" i="20"/>
  <c r="AA24" i="20"/>
  <c r="AB24" i="20"/>
  <c r="C59" i="51"/>
  <c r="AA79" i="20"/>
  <c r="AB79" i="20"/>
  <c r="C114" i="51"/>
  <c r="O93" i="20"/>
  <c r="P93" i="20"/>
  <c r="Q93" i="20"/>
  <c r="N21" i="52"/>
  <c r="O119" i="20"/>
  <c r="O19" i="52"/>
  <c r="P19" i="52"/>
  <c r="P21" i="52"/>
  <c r="Q119" i="20"/>
  <c r="AA21" i="52"/>
  <c r="AB119" i="20"/>
  <c r="AB19" i="52"/>
  <c r="AC19" i="52"/>
  <c r="I111" i="56"/>
  <c r="L83" i="3"/>
  <c r="P83" i="56"/>
  <c r="Q83" i="56"/>
  <c r="R83" i="56"/>
  <c r="S83" i="56"/>
  <c r="P86" i="56"/>
  <c r="Q86" i="56"/>
  <c r="R86" i="56"/>
  <c r="S86" i="56"/>
  <c r="P103" i="56"/>
  <c r="Q103" i="56"/>
  <c r="R103" i="56"/>
  <c r="S103" i="56"/>
  <c r="P106" i="56"/>
  <c r="Q106" i="56"/>
  <c r="R106" i="56"/>
  <c r="S106" i="56"/>
  <c r="P32" i="56"/>
  <c r="Q32" i="56"/>
  <c r="R32" i="56"/>
  <c r="S32" i="56"/>
  <c r="P35" i="56"/>
  <c r="Q35" i="56"/>
  <c r="R35" i="56"/>
  <c r="S35" i="56"/>
  <c r="P38" i="56"/>
  <c r="Q38" i="56"/>
  <c r="R38" i="56"/>
  <c r="S38" i="56"/>
  <c r="P48" i="56"/>
  <c r="Q48" i="56"/>
  <c r="R48" i="56"/>
  <c r="S48" i="56"/>
  <c r="P51" i="56"/>
  <c r="Q51" i="56"/>
  <c r="R51" i="56"/>
  <c r="S51" i="56"/>
  <c r="P54" i="56"/>
  <c r="Q54" i="56"/>
  <c r="R54" i="56"/>
  <c r="S54" i="56"/>
  <c r="P64" i="56"/>
  <c r="Q64" i="56"/>
  <c r="R64" i="56"/>
  <c r="S64" i="56"/>
  <c r="P67" i="56"/>
  <c r="Q67" i="56"/>
  <c r="R67" i="56"/>
  <c r="S67" i="56"/>
  <c r="P70" i="56"/>
  <c r="Q70" i="56"/>
  <c r="R70" i="56"/>
  <c r="S70" i="56"/>
  <c r="P80" i="56"/>
  <c r="Q80" i="56"/>
  <c r="R80" i="56"/>
  <c r="S80" i="56"/>
  <c r="P90" i="56"/>
  <c r="Q90" i="56"/>
  <c r="R90" i="56"/>
  <c r="S90" i="56"/>
  <c r="P107" i="56"/>
  <c r="Q107" i="56"/>
  <c r="R107" i="56"/>
  <c r="S107" i="56"/>
  <c r="P63" i="56"/>
  <c r="Q63" i="56"/>
  <c r="R63" i="56"/>
  <c r="S63" i="56"/>
  <c r="P109" i="56"/>
  <c r="Q109" i="56"/>
  <c r="R109" i="56"/>
  <c r="S109" i="56"/>
  <c r="P29" i="56"/>
  <c r="Q29" i="56"/>
  <c r="R29" i="56"/>
  <c r="S29" i="56"/>
  <c r="P45" i="56"/>
  <c r="Q45" i="56"/>
  <c r="R45" i="56"/>
  <c r="S45" i="56"/>
  <c r="P61" i="56"/>
  <c r="Q61" i="56"/>
  <c r="R61" i="56"/>
  <c r="S61" i="56"/>
  <c r="P77" i="56"/>
  <c r="Q77" i="56"/>
  <c r="R77" i="56"/>
  <c r="S77" i="56"/>
  <c r="P87" i="56"/>
  <c r="Q87" i="56"/>
  <c r="R87" i="56"/>
  <c r="S87" i="56"/>
  <c r="P104" i="56"/>
  <c r="Q104" i="56"/>
  <c r="R104" i="56"/>
  <c r="S104" i="56"/>
  <c r="P31" i="56"/>
  <c r="Q31" i="56"/>
  <c r="R31" i="56"/>
  <c r="S31" i="56"/>
  <c r="P88" i="56"/>
  <c r="Q88" i="56"/>
  <c r="R88" i="56"/>
  <c r="S88" i="56"/>
  <c r="P98" i="56"/>
  <c r="Q98" i="56"/>
  <c r="R98" i="56"/>
  <c r="S98" i="56"/>
  <c r="P47" i="56"/>
  <c r="Q47" i="56"/>
  <c r="R47" i="56"/>
  <c r="S47" i="56"/>
  <c r="P79" i="56"/>
  <c r="Q79" i="56"/>
  <c r="R79" i="56"/>
  <c r="S79" i="56"/>
  <c r="P96" i="56"/>
  <c r="Q96" i="56"/>
  <c r="R96" i="56"/>
  <c r="S96" i="56"/>
  <c r="P85" i="56"/>
  <c r="Q85" i="56"/>
  <c r="R85" i="56"/>
  <c r="S85" i="56"/>
  <c r="P95" i="56"/>
  <c r="Q95" i="56"/>
  <c r="R95" i="56"/>
  <c r="S95" i="56"/>
  <c r="R19" i="56"/>
  <c r="S19" i="56"/>
  <c r="N26" i="20"/>
  <c r="O30" i="20"/>
  <c r="P30" i="20"/>
  <c r="Q30" i="20"/>
  <c r="AA33" i="20"/>
  <c r="AB33" i="20"/>
  <c r="C68" i="51"/>
  <c r="O49" i="20"/>
  <c r="P49" i="20"/>
  <c r="Q49" i="20"/>
  <c r="O51" i="20"/>
  <c r="P51" i="20"/>
  <c r="Q51" i="20"/>
  <c r="AA61" i="20"/>
  <c r="AB61" i="20"/>
  <c r="C96" i="51"/>
  <c r="N67" i="20"/>
  <c r="O69" i="20"/>
  <c r="P69" i="20"/>
  <c r="Q69" i="20"/>
  <c r="AA91" i="20"/>
  <c r="AB91" i="20"/>
  <c r="AC91" i="20"/>
  <c r="AD91" i="20"/>
  <c r="O95" i="20"/>
  <c r="P95" i="20"/>
  <c r="Q95" i="20"/>
  <c r="AA100" i="20"/>
  <c r="AB100" i="20"/>
  <c r="C135" i="51"/>
  <c r="O57" i="20"/>
  <c r="P57" i="20"/>
  <c r="Q57" i="20"/>
  <c r="AA65" i="20"/>
  <c r="AB65" i="20"/>
  <c r="C100" i="51"/>
  <c r="AA72" i="20"/>
  <c r="AB72" i="20"/>
  <c r="C107" i="51"/>
  <c r="AA86" i="20"/>
  <c r="AB86" i="20"/>
  <c r="C121" i="51"/>
  <c r="AA93" i="20"/>
  <c r="AB93" i="20"/>
  <c r="C128" i="51"/>
  <c r="N36" i="20"/>
  <c r="AA49" i="20"/>
  <c r="AB49" i="20"/>
  <c r="C84" i="51"/>
  <c r="AA51" i="20"/>
  <c r="AB51" i="20"/>
  <c r="C86" i="51"/>
  <c r="O75" i="20"/>
  <c r="P75" i="20"/>
  <c r="Q75" i="20"/>
  <c r="AA78" i="20"/>
  <c r="AB78" i="20"/>
  <c r="AC78" i="20"/>
  <c r="AD78" i="20"/>
  <c r="AA108" i="20"/>
  <c r="AB108" i="20"/>
  <c r="AC108" i="20"/>
  <c r="AD108" i="20"/>
  <c r="O29" i="20"/>
  <c r="P29" i="20"/>
  <c r="Q29" i="20"/>
  <c r="O59" i="20"/>
  <c r="P59" i="20"/>
  <c r="Q59" i="20"/>
  <c r="AA60" i="20"/>
  <c r="AB60" i="20"/>
  <c r="AC60" i="20"/>
  <c r="AD60" i="20"/>
  <c r="AA62" i="20"/>
  <c r="AB62" i="20"/>
  <c r="C97" i="51"/>
  <c r="AA64" i="20"/>
  <c r="AB64" i="20"/>
  <c r="C99" i="51"/>
  <c r="AA71" i="20"/>
  <c r="AB71" i="20"/>
  <c r="C106" i="51"/>
  <c r="N77" i="20"/>
  <c r="AA99" i="20"/>
  <c r="AB99" i="20"/>
  <c r="C134" i="51"/>
  <c r="O109" i="20"/>
  <c r="P109" i="20"/>
  <c r="Q109" i="20"/>
  <c r="O37" i="20"/>
  <c r="P37" i="20"/>
  <c r="Q37" i="20"/>
  <c r="N61" i="20"/>
  <c r="N65" i="20"/>
  <c r="AA73" i="20"/>
  <c r="AB73" i="20"/>
  <c r="C108" i="51"/>
  <c r="AA75" i="20"/>
  <c r="AB75" i="20"/>
  <c r="C110" i="51"/>
  <c r="AC50" i="20"/>
  <c r="AD50" i="20"/>
  <c r="C85" i="51"/>
  <c r="AC54" i="20"/>
  <c r="AD54" i="20"/>
  <c r="C89" i="51"/>
  <c r="AC98" i="20"/>
  <c r="AD98" i="20"/>
  <c r="C133" i="51"/>
  <c r="AC33" i="20"/>
  <c r="AD33" i="20"/>
  <c r="C76" i="51"/>
  <c r="AC67" i="20"/>
  <c r="AD67" i="20"/>
  <c r="C102" i="51"/>
  <c r="AC104" i="20"/>
  <c r="AD104" i="20"/>
  <c r="C139" i="51"/>
  <c r="AC71" i="20"/>
  <c r="AD71" i="20"/>
  <c r="AC92" i="20"/>
  <c r="AD92" i="20"/>
  <c r="C127" i="51"/>
  <c r="AC37" i="20"/>
  <c r="AD37" i="20"/>
  <c r="C72" i="51"/>
  <c r="AC88" i="20"/>
  <c r="AD88" i="20"/>
  <c r="C123" i="51"/>
  <c r="AC74" i="20"/>
  <c r="AD74" i="20"/>
  <c r="C109" i="51"/>
  <c r="AC64" i="20"/>
  <c r="AD64" i="20"/>
  <c r="C54" i="51"/>
  <c r="AC19" i="20"/>
  <c r="AD19" i="20"/>
  <c r="AC38" i="20"/>
  <c r="AD38" i="20"/>
  <c r="C73" i="51"/>
  <c r="AC57" i="20"/>
  <c r="AD57" i="20"/>
  <c r="C92" i="51"/>
  <c r="AC82" i="20"/>
  <c r="AD82" i="20"/>
  <c r="C117" i="51"/>
  <c r="AC43" i="20"/>
  <c r="AD43" i="20"/>
  <c r="C78" i="51"/>
  <c r="C95" i="51"/>
  <c r="AA28" i="20"/>
  <c r="AB28" i="20"/>
  <c r="C63" i="51"/>
  <c r="B63" i="51"/>
  <c r="F63" i="51"/>
  <c r="N33" i="20"/>
  <c r="O38" i="20"/>
  <c r="P38" i="20"/>
  <c r="Q38" i="20"/>
  <c r="O43" i="20"/>
  <c r="P43" i="20"/>
  <c r="Q43" i="20"/>
  <c r="O53" i="20"/>
  <c r="P53" i="20"/>
  <c r="Q53" i="20"/>
  <c r="O67" i="20"/>
  <c r="P67" i="20"/>
  <c r="Q67" i="20"/>
  <c r="O77" i="20"/>
  <c r="P77" i="20"/>
  <c r="Q77" i="20"/>
  <c r="O81" i="20"/>
  <c r="P81" i="20"/>
  <c r="Q81" i="20"/>
  <c r="O105" i="20"/>
  <c r="P105" i="20"/>
  <c r="Q105" i="20"/>
  <c r="N59" i="20"/>
  <c r="N69" i="20"/>
  <c r="N73" i="20"/>
  <c r="O91" i="20"/>
  <c r="P91" i="20"/>
  <c r="Q91" i="20"/>
  <c r="O25" i="20"/>
  <c r="P25" i="20"/>
  <c r="Q25" i="20"/>
  <c r="AA39" i="20"/>
  <c r="AB39" i="20"/>
  <c r="C74" i="51"/>
  <c r="AA31" i="20"/>
  <c r="AB31" i="20"/>
  <c r="C66" i="51"/>
  <c r="N35" i="20"/>
  <c r="AA25" i="20"/>
  <c r="AB25" i="20"/>
  <c r="O27" i="20"/>
  <c r="P27" i="20"/>
  <c r="Q27" i="20"/>
  <c r="O35" i="20"/>
  <c r="P35" i="20"/>
  <c r="Q35" i="20"/>
  <c r="O55" i="20"/>
  <c r="P55" i="20"/>
  <c r="Q55" i="20"/>
  <c r="O61" i="20"/>
  <c r="P61" i="20"/>
  <c r="Q61" i="20"/>
  <c r="O65" i="20"/>
  <c r="P65" i="20"/>
  <c r="Q65" i="20"/>
  <c r="O83" i="20"/>
  <c r="P83" i="20"/>
  <c r="Q83" i="20"/>
  <c r="O103" i="20"/>
  <c r="P103" i="20"/>
  <c r="Q103" i="20"/>
  <c r="AA26" i="20"/>
  <c r="AB26" i="20"/>
  <c r="C61" i="51"/>
  <c r="AA36" i="20"/>
  <c r="AB36" i="20"/>
  <c r="C71" i="51"/>
  <c r="AA48" i="20"/>
  <c r="AB48" i="20"/>
  <c r="C83" i="51"/>
  <c r="O22" i="20"/>
  <c r="P22" i="20"/>
  <c r="Q22" i="20"/>
  <c r="N24" i="20"/>
  <c r="N29" i="20"/>
  <c r="AA30" i="20"/>
  <c r="AB30" i="20"/>
  <c r="O34" i="20"/>
  <c r="P34" i="20"/>
  <c r="Q34" i="20"/>
  <c r="AA45" i="20"/>
  <c r="AB45" i="20"/>
  <c r="AA53" i="20"/>
  <c r="AB53" i="20"/>
  <c r="AA56" i="20"/>
  <c r="AB56" i="20"/>
  <c r="AA63" i="20"/>
  <c r="AB63" i="20"/>
  <c r="AA70" i="20"/>
  <c r="AB70" i="20"/>
  <c r="O79" i="20"/>
  <c r="P79" i="20"/>
  <c r="Q79" i="20"/>
  <c r="AA81" i="20"/>
  <c r="AB81" i="20"/>
  <c r="AA84" i="20"/>
  <c r="AB84" i="20"/>
  <c r="AC94" i="20"/>
  <c r="AD94" i="20"/>
  <c r="C129" i="51"/>
  <c r="AC17" i="20"/>
  <c r="AD17" i="20"/>
  <c r="AC40" i="20"/>
  <c r="AD40" i="20"/>
  <c r="C75" i="51"/>
  <c r="AC47" i="20"/>
  <c r="AD47" i="20"/>
  <c r="C82" i="51"/>
  <c r="AC59" i="20"/>
  <c r="AD59" i="20"/>
  <c r="C94" i="51"/>
  <c r="AC77" i="20"/>
  <c r="AD77" i="20"/>
  <c r="C112" i="51"/>
  <c r="O20" i="20"/>
  <c r="P20" i="20"/>
  <c r="Q20" i="20"/>
  <c r="O97" i="20"/>
  <c r="P97" i="20"/>
  <c r="Q97" i="20"/>
  <c r="O107" i="20"/>
  <c r="P107" i="20"/>
  <c r="Q107" i="20"/>
  <c r="AC27" i="20"/>
  <c r="AD27" i="20"/>
  <c r="C62" i="51"/>
  <c r="N21" i="20"/>
  <c r="O23" i="20"/>
  <c r="P23" i="20"/>
  <c r="Q23" i="20"/>
  <c r="N31" i="20"/>
  <c r="AA32" i="20"/>
  <c r="AB32" i="20"/>
  <c r="N39" i="20"/>
  <c r="O41" i="20"/>
  <c r="P41" i="20"/>
  <c r="Q41" i="20"/>
  <c r="AA42" i="20"/>
  <c r="AB42" i="20"/>
  <c r="C77" i="51"/>
  <c r="N57" i="20"/>
  <c r="O71" i="20"/>
  <c r="P71" i="20"/>
  <c r="Q71" i="20"/>
  <c r="N75" i="20"/>
  <c r="N85" i="20"/>
  <c r="N89" i="20"/>
  <c r="AA96" i="20"/>
  <c r="AB96" i="20"/>
  <c r="C131" i="51"/>
  <c r="Q13" i="19"/>
  <c r="R13" i="19"/>
  <c r="AH37" i="19"/>
  <c r="Q16" i="53"/>
  <c r="R16" i="53"/>
  <c r="R21" i="53"/>
  <c r="T113" i="19"/>
  <c r="P21" i="53"/>
  <c r="R113" i="19"/>
  <c r="AJ14" i="53"/>
  <c r="AK14" i="53"/>
  <c r="AJ17" i="53"/>
  <c r="AK17" i="53"/>
  <c r="AJ15" i="53"/>
  <c r="AK15" i="53"/>
  <c r="Y13" i="57"/>
  <c r="Z13" i="57"/>
  <c r="Y15" i="57"/>
  <c r="Z15" i="57"/>
  <c r="Y17" i="57"/>
  <c r="Z17" i="57"/>
  <c r="AJ10" i="53"/>
  <c r="AK10" i="53"/>
  <c r="AJ18" i="53"/>
  <c r="AK18" i="53"/>
  <c r="AJ13" i="53"/>
  <c r="AK13" i="53"/>
  <c r="AJ16" i="53"/>
  <c r="AK16" i="53"/>
  <c r="AJ12" i="53"/>
  <c r="AK12" i="53"/>
  <c r="AJ11" i="53"/>
  <c r="AK11" i="53"/>
  <c r="AC29" i="20"/>
  <c r="AD29" i="20"/>
  <c r="AC49" i="20"/>
  <c r="AD49" i="20"/>
  <c r="AC73" i="20"/>
  <c r="AD73" i="20"/>
  <c r="AC76" i="20"/>
  <c r="AD76" i="20"/>
  <c r="AC80" i="20"/>
  <c r="AD80" i="20"/>
  <c r="AC87" i="20"/>
  <c r="AD87" i="20"/>
  <c r="AC107" i="20"/>
  <c r="AD107" i="20"/>
  <c r="AC28" i="20"/>
  <c r="AD28" i="20"/>
  <c r="AC34" i="20"/>
  <c r="AD34" i="20"/>
  <c r="AC44" i="20"/>
  <c r="AD44" i="20"/>
  <c r="AC55" i="20"/>
  <c r="AD55" i="20"/>
  <c r="AC62" i="20"/>
  <c r="AD62" i="20"/>
  <c r="AC69" i="20"/>
  <c r="AD69" i="20"/>
  <c r="AC103" i="20"/>
  <c r="AD103" i="20"/>
  <c r="AC106" i="20"/>
  <c r="AD106" i="20"/>
  <c r="AB12" i="52"/>
  <c r="AC12" i="52"/>
  <c r="AC26" i="20"/>
  <c r="AD26" i="20"/>
  <c r="AC36" i="20"/>
  <c r="AD36" i="20"/>
  <c r="AC46" i="20"/>
  <c r="AD46" i="20"/>
  <c r="AC68" i="20"/>
  <c r="AD68" i="20"/>
  <c r="AC90" i="20"/>
  <c r="AD90" i="20"/>
  <c r="AC99" i="20"/>
  <c r="AD99" i="20"/>
  <c r="AC109" i="20"/>
  <c r="AD109" i="20"/>
  <c r="AC111" i="20"/>
  <c r="AD111" i="20"/>
  <c r="AC16" i="20"/>
  <c r="AD16" i="20"/>
  <c r="AC18" i="20"/>
  <c r="AD18" i="20"/>
  <c r="AC31" i="20"/>
  <c r="AD31" i="20"/>
  <c r="AC51" i="20"/>
  <c r="AD51" i="20"/>
  <c r="AC61" i="20"/>
  <c r="AD61" i="20"/>
  <c r="AC75" i="20"/>
  <c r="AD75" i="20"/>
  <c r="AC95" i="20"/>
  <c r="AD95" i="20"/>
  <c r="AC102" i="20"/>
  <c r="AD102" i="20"/>
  <c r="AB10" i="52"/>
  <c r="AC10" i="52"/>
  <c r="AC21" i="52"/>
  <c r="AD119" i="20"/>
  <c r="Q51" i="3"/>
  <c r="I21" i="51"/>
  <c r="W35" i="51"/>
  <c r="F23" i="29"/>
  <c r="J23" i="3"/>
  <c r="Q23" i="3"/>
  <c r="I11" i="29"/>
  <c r="AH45" i="19"/>
  <c r="AH42" i="19"/>
  <c r="AH10" i="19"/>
  <c r="Q10" i="19"/>
  <c r="R10" i="19"/>
  <c r="S10" i="19"/>
  <c r="T10" i="19"/>
  <c r="AA20" i="20"/>
  <c r="AB20" i="20"/>
  <c r="AA22" i="20"/>
  <c r="AB22" i="20"/>
  <c r="AA21" i="20"/>
  <c r="AB21" i="20"/>
  <c r="AA23" i="20"/>
  <c r="AB23" i="20"/>
  <c r="AH18" i="19"/>
  <c r="AH71" i="19"/>
  <c r="AH15" i="19"/>
  <c r="AH23" i="19"/>
  <c r="AH58" i="19"/>
  <c r="AH78" i="19"/>
  <c r="AH70" i="19"/>
  <c r="R15" i="51"/>
  <c r="AA11" i="20"/>
  <c r="AB11" i="20"/>
  <c r="C46" i="51"/>
  <c r="AA14" i="20"/>
  <c r="AB14" i="20"/>
  <c r="C48" i="51"/>
  <c r="AC13" i="20"/>
  <c r="AD13" i="20"/>
  <c r="AA12" i="20"/>
  <c r="AB12" i="20"/>
  <c r="AA10" i="20"/>
  <c r="AB10" i="20"/>
  <c r="R7" i="51"/>
  <c r="P10" i="57"/>
  <c r="V10" i="57"/>
  <c r="X10" i="57"/>
  <c r="O111" i="57"/>
  <c r="S10" i="57"/>
  <c r="T10" i="57"/>
  <c r="U10" i="57"/>
  <c r="N111" i="57"/>
  <c r="I3" i="57"/>
  <c r="L85" i="3"/>
  <c r="AE116" i="19"/>
  <c r="AH30" i="19"/>
  <c r="AH53" i="19"/>
  <c r="AH44" i="19"/>
  <c r="O116" i="19"/>
  <c r="AH32" i="19"/>
  <c r="AH51" i="19"/>
  <c r="AH62" i="19"/>
  <c r="AH63" i="19"/>
  <c r="AH73" i="19"/>
  <c r="AH65" i="19"/>
  <c r="W116" i="19"/>
  <c r="L39" i="3"/>
  <c r="P35" i="51"/>
  <c r="AH77" i="19"/>
  <c r="K116" i="19"/>
  <c r="H39" i="3"/>
  <c r="AA116" i="19"/>
  <c r="AH103" i="19"/>
  <c r="AH105" i="19"/>
  <c r="AH93" i="19"/>
  <c r="AH108" i="19"/>
  <c r="AH106" i="19"/>
  <c r="AH90" i="19"/>
  <c r="O64" i="20"/>
  <c r="P64" i="20"/>
  <c r="Q64" i="20"/>
  <c r="N64" i="20"/>
  <c r="O36" i="20"/>
  <c r="P36" i="20"/>
  <c r="Q36" i="20"/>
  <c r="N55" i="20"/>
  <c r="N63" i="20"/>
  <c r="N71" i="20"/>
  <c r="N79" i="20"/>
  <c r="N87" i="20"/>
  <c r="O100" i="20"/>
  <c r="P100" i="20"/>
  <c r="Q100" i="20"/>
  <c r="N100" i="20"/>
  <c r="H122" i="20"/>
  <c r="H34" i="3"/>
  <c r="P24" i="20"/>
  <c r="Q24" i="20"/>
  <c r="N30" i="20"/>
  <c r="N38" i="20"/>
  <c r="O54" i="20"/>
  <c r="P54" i="20"/>
  <c r="Q54" i="20"/>
  <c r="N54" i="20"/>
  <c r="O62" i="20"/>
  <c r="P62" i="20"/>
  <c r="Q62" i="20"/>
  <c r="N62" i="20"/>
  <c r="O70" i="20"/>
  <c r="P70" i="20"/>
  <c r="Q70" i="20"/>
  <c r="N70" i="20"/>
  <c r="O78" i="20"/>
  <c r="P78" i="20"/>
  <c r="Q78" i="20"/>
  <c r="N78" i="20"/>
  <c r="O86" i="20"/>
  <c r="P86" i="20"/>
  <c r="Q86" i="20"/>
  <c r="N86" i="20"/>
  <c r="O94" i="20"/>
  <c r="P94" i="20"/>
  <c r="Q94" i="20"/>
  <c r="N94" i="20"/>
  <c r="O56" i="20"/>
  <c r="P56" i="20"/>
  <c r="Q56" i="20"/>
  <c r="N56" i="20"/>
  <c r="O88" i="20"/>
  <c r="P88" i="20"/>
  <c r="Q88" i="20"/>
  <c r="N88" i="20"/>
  <c r="O60" i="20"/>
  <c r="P60" i="20"/>
  <c r="Q60" i="20"/>
  <c r="N60" i="20"/>
  <c r="O68" i="20"/>
  <c r="P68" i="20"/>
  <c r="Q68" i="20"/>
  <c r="N68" i="20"/>
  <c r="O76" i="20"/>
  <c r="P76" i="20"/>
  <c r="Q76" i="20"/>
  <c r="N76" i="20"/>
  <c r="O84" i="20"/>
  <c r="P84" i="20"/>
  <c r="Q84" i="20"/>
  <c r="N84" i="20"/>
  <c r="O92" i="20"/>
  <c r="P92" i="20"/>
  <c r="Q92" i="20"/>
  <c r="N92" i="20"/>
  <c r="O98" i="20"/>
  <c r="P98" i="20"/>
  <c r="Q98" i="20"/>
  <c r="N98" i="20"/>
  <c r="O72" i="20"/>
  <c r="P72" i="20"/>
  <c r="Q72" i="20"/>
  <c r="N72" i="20"/>
  <c r="N37" i="20"/>
  <c r="O104" i="20"/>
  <c r="P104" i="20"/>
  <c r="Q104" i="20"/>
  <c r="N104" i="20"/>
  <c r="N40" i="20"/>
  <c r="O40" i="20"/>
  <c r="P40" i="20"/>
  <c r="Q40" i="20"/>
  <c r="N45" i="20"/>
  <c r="N49" i="20"/>
  <c r="N51" i="20"/>
  <c r="O108" i="20"/>
  <c r="P108" i="20"/>
  <c r="Q108" i="20"/>
  <c r="N108" i="20"/>
  <c r="N25" i="20"/>
  <c r="N27" i="20"/>
  <c r="O52" i="20"/>
  <c r="P52" i="20"/>
  <c r="Q52" i="20"/>
  <c r="N52" i="20"/>
  <c r="N41" i="20"/>
  <c r="N43" i="20"/>
  <c r="N28" i="20"/>
  <c r="O33" i="20"/>
  <c r="P33" i="20"/>
  <c r="Q33" i="20"/>
  <c r="N34" i="20"/>
  <c r="O42" i="20"/>
  <c r="P42" i="20"/>
  <c r="Q42" i="20"/>
  <c r="N42" i="20"/>
  <c r="O44" i="20"/>
  <c r="P44" i="20"/>
  <c r="Q44" i="20"/>
  <c r="N44" i="20"/>
  <c r="O46" i="20"/>
  <c r="P46" i="20"/>
  <c r="Q46" i="20"/>
  <c r="N46" i="20"/>
  <c r="O48" i="20"/>
  <c r="P48" i="20"/>
  <c r="Q48" i="20"/>
  <c r="N48" i="20"/>
  <c r="O50" i="20"/>
  <c r="P50" i="20"/>
  <c r="Q50" i="20"/>
  <c r="N50" i="20"/>
  <c r="O58" i="20"/>
  <c r="P58" i="20"/>
  <c r="Q58" i="20"/>
  <c r="N58" i="20"/>
  <c r="O66" i="20"/>
  <c r="P66" i="20"/>
  <c r="Q66" i="20"/>
  <c r="N66" i="20"/>
  <c r="O74" i="20"/>
  <c r="P74" i="20"/>
  <c r="Q74" i="20"/>
  <c r="N74" i="20"/>
  <c r="O82" i="20"/>
  <c r="P82" i="20"/>
  <c r="Q82" i="20"/>
  <c r="N82" i="20"/>
  <c r="O90" i="20"/>
  <c r="P90" i="20"/>
  <c r="Q90" i="20"/>
  <c r="N90" i="20"/>
  <c r="O102" i="20"/>
  <c r="P102" i="20"/>
  <c r="Q102" i="20"/>
  <c r="N102" i="20"/>
  <c r="O80" i="20"/>
  <c r="P80" i="20"/>
  <c r="Q80" i="20"/>
  <c r="N80" i="20"/>
  <c r="O106" i="20"/>
  <c r="P106" i="20"/>
  <c r="Q106" i="20"/>
  <c r="N106" i="20"/>
  <c r="T122" i="20"/>
  <c r="N32" i="20"/>
  <c r="N47" i="20"/>
  <c r="O28" i="20"/>
  <c r="P28" i="20"/>
  <c r="Q28" i="20"/>
  <c r="O96" i="20"/>
  <c r="P96" i="20"/>
  <c r="Q96" i="20"/>
  <c r="N96" i="20"/>
  <c r="N91" i="20"/>
  <c r="N93" i="20"/>
  <c r="N95" i="20"/>
  <c r="N97" i="20"/>
  <c r="N99" i="20"/>
  <c r="N101" i="20"/>
  <c r="N103" i="20"/>
  <c r="N105" i="20"/>
  <c r="N107" i="20"/>
  <c r="N109" i="20"/>
  <c r="Q12" i="51"/>
  <c r="Q20" i="51"/>
  <c r="R12" i="51"/>
  <c r="R20" i="51"/>
  <c r="R25" i="51"/>
  <c r="P9" i="51"/>
  <c r="P17" i="51"/>
  <c r="O26" i="51"/>
  <c r="Q9" i="51"/>
  <c r="Q17" i="51"/>
  <c r="O6" i="51"/>
  <c r="O14" i="51"/>
  <c r="O22" i="51"/>
  <c r="Q27" i="51"/>
  <c r="P6" i="51"/>
  <c r="P14" i="51"/>
  <c r="P22" i="51"/>
  <c r="R27" i="51"/>
  <c r="P24" i="51"/>
  <c r="O11" i="51"/>
  <c r="O19" i="51"/>
  <c r="O24" i="51"/>
  <c r="Q6" i="51"/>
  <c r="O8" i="51"/>
  <c r="R9" i="51"/>
  <c r="P11" i="51"/>
  <c r="Q14" i="51"/>
  <c r="O16" i="51"/>
  <c r="R17" i="51"/>
  <c r="P19" i="51"/>
  <c r="Q22" i="51"/>
  <c r="Q24" i="51"/>
  <c r="P26" i="51"/>
  <c r="O28" i="51"/>
  <c r="R6" i="51"/>
  <c r="P8" i="51"/>
  <c r="Q11" i="51"/>
  <c r="O13" i="51"/>
  <c r="R14" i="51"/>
  <c r="P16" i="51"/>
  <c r="Q19" i="51"/>
  <c r="O21" i="51"/>
  <c r="R22" i="51"/>
  <c r="R24" i="51"/>
  <c r="Q26" i="51"/>
  <c r="P28" i="51"/>
  <c r="Q8" i="51"/>
  <c r="O10" i="51"/>
  <c r="R11" i="51"/>
  <c r="P13" i="51"/>
  <c r="Q16" i="51"/>
  <c r="O18" i="51"/>
  <c r="R19" i="51"/>
  <c r="P21" i="51"/>
  <c r="O23" i="51"/>
  <c r="R26" i="51"/>
  <c r="Q28" i="51"/>
  <c r="O7" i="51"/>
  <c r="R8" i="51"/>
  <c r="P10" i="51"/>
  <c r="Q13" i="51"/>
  <c r="O15" i="51"/>
  <c r="R16" i="51"/>
  <c r="P18" i="51"/>
  <c r="Q21" i="51"/>
  <c r="P23" i="51"/>
  <c r="O25" i="51"/>
  <c r="R28" i="51"/>
  <c r="P7" i="51"/>
  <c r="Q10" i="51"/>
  <c r="O12" i="51"/>
  <c r="R13" i="51"/>
  <c r="P15" i="51"/>
  <c r="Q18" i="51"/>
  <c r="O20" i="51"/>
  <c r="R21" i="51"/>
  <c r="Q23" i="51"/>
  <c r="P25" i="51"/>
  <c r="O27" i="51"/>
  <c r="Q7" i="51"/>
  <c r="O9" i="51"/>
  <c r="R10" i="51"/>
  <c r="P12" i="51"/>
  <c r="Q15" i="51"/>
  <c r="O17" i="51"/>
  <c r="R18" i="51"/>
  <c r="P20" i="51"/>
  <c r="R23" i="51"/>
  <c r="Q25" i="51"/>
  <c r="M7" i="51"/>
  <c r="K25" i="51"/>
  <c r="K17" i="51"/>
  <c r="L16" i="51"/>
  <c r="L24" i="51"/>
  <c r="M15" i="51"/>
  <c r="F27" i="3"/>
  <c r="D5" i="29"/>
  <c r="K9" i="51"/>
  <c r="AD2" i="3"/>
  <c r="M23" i="51"/>
  <c r="L8" i="51"/>
  <c r="C5" i="36"/>
  <c r="K3" i="43"/>
  <c r="N7" i="51"/>
  <c r="M8" i="51"/>
  <c r="L9" i="51"/>
  <c r="K10" i="51"/>
  <c r="N15" i="51"/>
  <c r="M16" i="51"/>
  <c r="L17" i="51"/>
  <c r="K18" i="51"/>
  <c r="N23" i="51"/>
  <c r="M24" i="51"/>
  <c r="L25" i="51"/>
  <c r="K26" i="51"/>
  <c r="N6" i="51"/>
  <c r="N22" i="51"/>
  <c r="N8" i="51"/>
  <c r="M9" i="51"/>
  <c r="L10" i="51"/>
  <c r="K11" i="51"/>
  <c r="N16" i="51"/>
  <c r="M17" i="51"/>
  <c r="L18" i="51"/>
  <c r="K19" i="51"/>
  <c r="N24" i="51"/>
  <c r="M25" i="51"/>
  <c r="L26" i="51"/>
  <c r="K27" i="51"/>
  <c r="M12" i="55"/>
  <c r="N9" i="51"/>
  <c r="M10" i="51"/>
  <c r="L11" i="51"/>
  <c r="K12" i="51"/>
  <c r="N17" i="51"/>
  <c r="M18" i="51"/>
  <c r="L19" i="51"/>
  <c r="K20" i="51"/>
  <c r="N25" i="51"/>
  <c r="M26" i="51"/>
  <c r="L27" i="51"/>
  <c r="N10" i="51"/>
  <c r="M11" i="51"/>
  <c r="L12" i="51"/>
  <c r="K13" i="51"/>
  <c r="N18" i="51"/>
  <c r="M19" i="51"/>
  <c r="L20" i="51"/>
  <c r="K21" i="51"/>
  <c r="N26" i="51"/>
  <c r="M27" i="51"/>
  <c r="K28" i="51"/>
  <c r="D25" i="28"/>
  <c r="D56" i="28"/>
  <c r="J55" i="3"/>
  <c r="K6" i="51"/>
  <c r="N11" i="51"/>
  <c r="M12" i="51"/>
  <c r="L13" i="51"/>
  <c r="K14" i="51"/>
  <c r="N19" i="51"/>
  <c r="M20" i="51"/>
  <c r="L21" i="51"/>
  <c r="K22" i="51"/>
  <c r="N27" i="51"/>
  <c r="L28" i="51"/>
  <c r="N14" i="51"/>
  <c r="E25" i="28"/>
  <c r="E56" i="28"/>
  <c r="N55" i="3"/>
  <c r="L6" i="51"/>
  <c r="K7" i="51"/>
  <c r="N12" i="51"/>
  <c r="M13" i="51"/>
  <c r="L14" i="51"/>
  <c r="K15" i="51"/>
  <c r="N20" i="51"/>
  <c r="M21" i="51"/>
  <c r="L22" i="51"/>
  <c r="K23" i="51"/>
  <c r="M28" i="51"/>
  <c r="AC2" i="3"/>
  <c r="M6" i="51"/>
  <c r="L7" i="51"/>
  <c r="K8" i="51"/>
  <c r="N13" i="51"/>
  <c r="M14" i="51"/>
  <c r="L15" i="51"/>
  <c r="K16" i="51"/>
  <c r="N21" i="51"/>
  <c r="M22" i="51"/>
  <c r="L23" i="51"/>
  <c r="K24" i="51"/>
  <c r="N28" i="51"/>
  <c r="AC52" i="20"/>
  <c r="AD52" i="20"/>
  <c r="C136" i="51"/>
  <c r="AC42" i="20"/>
  <c r="AD42" i="20"/>
  <c r="C126" i="51"/>
  <c r="AC83" i="20"/>
  <c r="AD83" i="20"/>
  <c r="AC58" i="20"/>
  <c r="AD58" i="20"/>
  <c r="C70" i="51"/>
  <c r="C140" i="51"/>
  <c r="AC72" i="20"/>
  <c r="AD72" i="20"/>
  <c r="AC24" i="20"/>
  <c r="AD24" i="20"/>
  <c r="C120" i="51"/>
  <c r="C143" i="51"/>
  <c r="AC65" i="20"/>
  <c r="AD65" i="20"/>
  <c r="AC100" i="20"/>
  <c r="AD100" i="20"/>
  <c r="C132" i="51"/>
  <c r="C124" i="51"/>
  <c r="AC39" i="20"/>
  <c r="AD39" i="20"/>
  <c r="AC79" i="20"/>
  <c r="AD79" i="20"/>
  <c r="AC66" i="20"/>
  <c r="AD66" i="20"/>
  <c r="S111" i="56"/>
  <c r="L89" i="3"/>
  <c r="H3" i="56"/>
  <c r="Q111" i="56"/>
  <c r="N83" i="3"/>
  <c r="AC86" i="20"/>
  <c r="AD86" i="20"/>
  <c r="AC93" i="20"/>
  <c r="AD93" i="20"/>
  <c r="AB122" i="20"/>
  <c r="N34" i="3"/>
  <c r="H13" i="51"/>
  <c r="N35" i="51"/>
  <c r="AC48" i="20"/>
  <c r="AD48" i="20"/>
  <c r="C113" i="51"/>
  <c r="AC32" i="20"/>
  <c r="AD32" i="20"/>
  <c r="C67" i="51"/>
  <c r="AC53" i="20"/>
  <c r="AD53" i="20"/>
  <c r="C88" i="51"/>
  <c r="AC11" i="20"/>
  <c r="AD11" i="20"/>
  <c r="AC45" i="20"/>
  <c r="AD45" i="20"/>
  <c r="C80" i="51"/>
  <c r="AC25" i="20"/>
  <c r="AD25" i="20"/>
  <c r="C60" i="51"/>
  <c r="AC84" i="20"/>
  <c r="AD84" i="20"/>
  <c r="C119" i="51"/>
  <c r="AC63" i="20"/>
  <c r="AD63" i="20"/>
  <c r="C98" i="51"/>
  <c r="AC96" i="20"/>
  <c r="AD96" i="20"/>
  <c r="AC81" i="20"/>
  <c r="AD81" i="20"/>
  <c r="C116" i="51"/>
  <c r="AC30" i="20"/>
  <c r="AD30" i="20"/>
  <c r="C65" i="51"/>
  <c r="AC56" i="20"/>
  <c r="AD56" i="20"/>
  <c r="C91" i="51"/>
  <c r="AC70" i="20"/>
  <c r="AD70" i="20"/>
  <c r="C105" i="51"/>
  <c r="AH100" i="19"/>
  <c r="AH85" i="19"/>
  <c r="AH61" i="19"/>
  <c r="AK21" i="53"/>
  <c r="AM113" i="19"/>
  <c r="J19" i="3"/>
  <c r="J27" i="3"/>
  <c r="I23" i="29"/>
  <c r="K105" i="51"/>
  <c r="O105" i="51"/>
  <c r="AH84" i="19"/>
  <c r="AH79" i="19"/>
  <c r="AH69" i="19"/>
  <c r="K143" i="51"/>
  <c r="O143" i="51"/>
  <c r="AH49" i="19"/>
  <c r="AH29" i="19"/>
  <c r="K96" i="51"/>
  <c r="O96" i="51"/>
  <c r="AH82" i="19"/>
  <c r="AH95" i="19"/>
  <c r="C58" i="51"/>
  <c r="AC23" i="20"/>
  <c r="AD23" i="20"/>
  <c r="C56" i="51"/>
  <c r="AC21" i="20"/>
  <c r="AD21" i="20"/>
  <c r="C57" i="51"/>
  <c r="AC22" i="20"/>
  <c r="AD22" i="20"/>
  <c r="C55" i="51"/>
  <c r="AC20" i="20"/>
  <c r="AD20" i="20"/>
  <c r="AH34" i="19"/>
  <c r="AH24" i="19"/>
  <c r="AH17" i="19"/>
  <c r="K52" i="51"/>
  <c r="O52" i="51"/>
  <c r="AH72" i="19"/>
  <c r="K103" i="51"/>
  <c r="O103" i="51"/>
  <c r="AH83" i="19"/>
  <c r="AH35" i="19"/>
  <c r="K62" i="51"/>
  <c r="O62" i="51"/>
  <c r="AH22" i="19"/>
  <c r="K79" i="51"/>
  <c r="O79" i="51"/>
  <c r="K54" i="51"/>
  <c r="O54" i="51"/>
  <c r="AH75" i="19"/>
  <c r="K60" i="51"/>
  <c r="O60" i="51"/>
  <c r="AH25" i="19"/>
  <c r="AH14" i="19"/>
  <c r="AH21" i="19"/>
  <c r="K135" i="51"/>
  <c r="O135" i="51"/>
  <c r="AH57" i="19"/>
  <c r="AH87" i="19"/>
  <c r="AH31" i="19"/>
  <c r="AH20" i="19"/>
  <c r="AH86" i="19"/>
  <c r="K76" i="51"/>
  <c r="O76" i="51"/>
  <c r="K57" i="51"/>
  <c r="O57" i="51"/>
  <c r="AH16" i="19"/>
  <c r="K71" i="51"/>
  <c r="O71" i="51"/>
  <c r="AH92" i="19"/>
  <c r="AH68" i="19"/>
  <c r="K141" i="51"/>
  <c r="O141" i="51"/>
  <c r="K134" i="51"/>
  <c r="O134" i="51"/>
  <c r="K98" i="51"/>
  <c r="O98" i="51"/>
  <c r="K90" i="51"/>
  <c r="O90" i="51"/>
  <c r="AH99" i="19"/>
  <c r="K77" i="51"/>
  <c r="O77" i="51"/>
  <c r="K68" i="51"/>
  <c r="O68" i="51"/>
  <c r="AH60" i="19"/>
  <c r="K64" i="51"/>
  <c r="O64" i="51"/>
  <c r="K82" i="51"/>
  <c r="O82" i="51"/>
  <c r="AH19" i="19"/>
  <c r="K45" i="51"/>
  <c r="O45" i="51"/>
  <c r="O39" i="51"/>
  <c r="K80" i="51"/>
  <c r="O80" i="51"/>
  <c r="K67" i="51"/>
  <c r="O67" i="51"/>
  <c r="K118" i="51"/>
  <c r="O118" i="51"/>
  <c r="AH97" i="19"/>
  <c r="K106" i="51"/>
  <c r="O106" i="51"/>
  <c r="K119" i="51"/>
  <c r="O119" i="51"/>
  <c r="K97" i="51"/>
  <c r="O97" i="51"/>
  <c r="AH39" i="19"/>
  <c r="AH64" i="19"/>
  <c r="AH12" i="19"/>
  <c r="AH67" i="19"/>
  <c r="AH76" i="19"/>
  <c r="K72" i="51"/>
  <c r="O72" i="51"/>
  <c r="AH52" i="19"/>
  <c r="AH50" i="19"/>
  <c r="AH11" i="19"/>
  <c r="AH13" i="19"/>
  <c r="C49" i="51"/>
  <c r="AC14" i="20"/>
  <c r="AD14" i="20"/>
  <c r="C47" i="51"/>
  <c r="AC12" i="20"/>
  <c r="AD12" i="20"/>
  <c r="C45" i="51"/>
  <c r="AC10" i="20"/>
  <c r="AD10" i="20"/>
  <c r="A35" i="51"/>
  <c r="X111" i="57"/>
  <c r="N85" i="3"/>
  <c r="Y10" i="57"/>
  <c r="Z10" i="57"/>
  <c r="Z111" i="57"/>
  <c r="AH59" i="19"/>
  <c r="AH91" i="19"/>
  <c r="AH40" i="19"/>
  <c r="AH38" i="19"/>
  <c r="AH43" i="19"/>
  <c r="AH102" i="19"/>
  <c r="AH94" i="19"/>
  <c r="AH28" i="19"/>
  <c r="AH81" i="19"/>
  <c r="AH107" i="19"/>
  <c r="AH101" i="19"/>
  <c r="AH88" i="19"/>
  <c r="AH26" i="19"/>
  <c r="AH54" i="19"/>
  <c r="AH104" i="19"/>
  <c r="AH80" i="19"/>
  <c r="AH96" i="19"/>
  <c r="AH109" i="19"/>
  <c r="AH98" i="19"/>
  <c r="AH66" i="19"/>
  <c r="AB116" i="19"/>
  <c r="AH33" i="19"/>
  <c r="AH56" i="19"/>
  <c r="AH48" i="19"/>
  <c r="AH27" i="19"/>
  <c r="AH89" i="19"/>
  <c r="AH55" i="19"/>
  <c r="AH36" i="19"/>
  <c r="Q116" i="19"/>
  <c r="AH74" i="19"/>
  <c r="H61" i="3"/>
  <c r="AH41" i="19"/>
  <c r="AH47" i="19"/>
  <c r="AH46" i="19"/>
  <c r="Q122" i="20"/>
  <c r="L34" i="3"/>
  <c r="M35" i="51"/>
  <c r="S3" i="20"/>
  <c r="O122" i="20"/>
  <c r="J34" i="3"/>
  <c r="AF2" i="3"/>
  <c r="D3" i="20"/>
  <c r="Q55" i="3"/>
  <c r="H36" i="55"/>
  <c r="H26" i="51"/>
  <c r="Y35" i="51"/>
  <c r="N87" i="3"/>
  <c r="K113" i="51"/>
  <c r="O113" i="51"/>
  <c r="K117" i="51"/>
  <c r="O117" i="51"/>
  <c r="Q34" i="3"/>
  <c r="H27" i="55"/>
  <c r="K114" i="51"/>
  <c r="O114" i="51"/>
  <c r="K130" i="51"/>
  <c r="O130" i="51"/>
  <c r="F61" i="3"/>
  <c r="F64" i="3"/>
  <c r="K59" i="51"/>
  <c r="O59" i="51"/>
  <c r="K69" i="51"/>
  <c r="O69" i="51"/>
  <c r="H28" i="51"/>
  <c r="AD122" i="20"/>
  <c r="K124" i="51"/>
  <c r="O124" i="51"/>
  <c r="K131" i="51"/>
  <c r="O131" i="51"/>
  <c r="K78" i="51"/>
  <c r="O78" i="51"/>
  <c r="K100" i="51"/>
  <c r="O100" i="51"/>
  <c r="K132" i="51"/>
  <c r="O132" i="51"/>
  <c r="K123" i="51"/>
  <c r="O123" i="51"/>
  <c r="K63" i="51"/>
  <c r="O63" i="51"/>
  <c r="K47" i="51"/>
  <c r="O47" i="51"/>
  <c r="K53" i="51"/>
  <c r="O53" i="51"/>
  <c r="K93" i="51"/>
  <c r="O93" i="51"/>
  <c r="K66" i="51"/>
  <c r="O66" i="51"/>
  <c r="K91" i="51"/>
  <c r="O91" i="51"/>
  <c r="K61" i="51"/>
  <c r="O61" i="51"/>
  <c r="K50" i="51"/>
  <c r="O50" i="51"/>
  <c r="K102" i="51"/>
  <c r="O102" i="51"/>
  <c r="K55" i="51"/>
  <c r="O55" i="51"/>
  <c r="K140" i="51"/>
  <c r="O140" i="51"/>
  <c r="K74" i="51"/>
  <c r="O74" i="51"/>
  <c r="K86" i="51"/>
  <c r="O86" i="51"/>
  <c r="K58" i="51"/>
  <c r="O58" i="51"/>
  <c r="K85" i="51"/>
  <c r="O85" i="51"/>
  <c r="K108" i="51"/>
  <c r="O108" i="51"/>
  <c r="K109" i="51"/>
  <c r="O109" i="51"/>
  <c r="K88" i="51"/>
  <c r="O88" i="51"/>
  <c r="K125" i="51"/>
  <c r="O125" i="51"/>
  <c r="K84" i="51"/>
  <c r="O84" i="51"/>
  <c r="K101" i="51"/>
  <c r="O101" i="51"/>
  <c r="K115" i="51"/>
  <c r="O115" i="51"/>
  <c r="K73" i="51"/>
  <c r="O73" i="51"/>
  <c r="K110" i="51"/>
  <c r="O110" i="51"/>
  <c r="K120" i="51"/>
  <c r="O120" i="51"/>
  <c r="K81" i="51"/>
  <c r="O81" i="51"/>
  <c r="K122" i="51"/>
  <c r="O122" i="51"/>
  <c r="K104" i="51"/>
  <c r="O104" i="51"/>
  <c r="K133" i="51"/>
  <c r="O133" i="51"/>
  <c r="K139" i="51"/>
  <c r="O139" i="51"/>
  <c r="K129" i="51"/>
  <c r="O129" i="51"/>
  <c r="K126" i="51"/>
  <c r="O126" i="51"/>
  <c r="K127" i="51"/>
  <c r="O127" i="51"/>
  <c r="K107" i="51"/>
  <c r="O107" i="51"/>
  <c r="K138" i="51"/>
  <c r="O138" i="51"/>
  <c r="K65" i="51"/>
  <c r="O65" i="51"/>
  <c r="K56" i="51"/>
  <c r="O56" i="51"/>
  <c r="K112" i="51"/>
  <c r="O112" i="51"/>
  <c r="K87" i="51"/>
  <c r="O87" i="51"/>
  <c r="K83" i="51"/>
  <c r="O83" i="51"/>
  <c r="K142" i="51"/>
  <c r="O142" i="51"/>
  <c r="K137" i="51"/>
  <c r="O137" i="51"/>
  <c r="K95" i="51"/>
  <c r="O95" i="51"/>
  <c r="K51" i="51"/>
  <c r="O51" i="51"/>
  <c r="K121" i="51"/>
  <c r="O121" i="51"/>
  <c r="K92" i="51"/>
  <c r="O92" i="51"/>
  <c r="K144" i="51"/>
  <c r="O144" i="51"/>
  <c r="K128" i="51"/>
  <c r="O128" i="51"/>
  <c r="K136" i="51"/>
  <c r="O136" i="51"/>
  <c r="K75" i="51"/>
  <c r="O75" i="51"/>
  <c r="K70" i="51"/>
  <c r="O70" i="51"/>
  <c r="K99" i="51"/>
  <c r="O99" i="51"/>
  <c r="K89" i="51"/>
  <c r="O89" i="51"/>
  <c r="K116" i="51"/>
  <c r="O116" i="51"/>
  <c r="K94" i="51"/>
  <c r="O94" i="51"/>
  <c r="K111" i="51"/>
  <c r="O111" i="51"/>
  <c r="K49" i="51"/>
  <c r="O49" i="51"/>
  <c r="K46" i="51"/>
  <c r="O46" i="51"/>
  <c r="K48" i="51"/>
  <c r="O48" i="51"/>
  <c r="G111" i="51"/>
  <c r="G97" i="51"/>
  <c r="G48" i="51"/>
  <c r="G56" i="51"/>
  <c r="G64" i="51"/>
  <c r="G72" i="51"/>
  <c r="G80" i="51"/>
  <c r="G88" i="51"/>
  <c r="G96" i="51"/>
  <c r="G104" i="51"/>
  <c r="G112" i="51"/>
  <c r="G120" i="51"/>
  <c r="G128" i="51"/>
  <c r="G136" i="51"/>
  <c r="G144" i="51"/>
  <c r="B35" i="51"/>
  <c r="G49" i="51"/>
  <c r="G57" i="51"/>
  <c r="G65" i="51"/>
  <c r="G73" i="51"/>
  <c r="G89" i="51"/>
  <c r="G121" i="51"/>
  <c r="G129" i="51"/>
  <c r="G137" i="51"/>
  <c r="G50" i="51"/>
  <c r="G58" i="51"/>
  <c r="G66" i="51"/>
  <c r="G74" i="51"/>
  <c r="G82" i="51"/>
  <c r="G90" i="51"/>
  <c r="G98" i="51"/>
  <c r="G106" i="51"/>
  <c r="G114" i="51"/>
  <c r="G122" i="51"/>
  <c r="G130" i="51"/>
  <c r="G138" i="51"/>
  <c r="F45" i="51"/>
  <c r="F39" i="51"/>
  <c r="G51" i="51"/>
  <c r="G59" i="51"/>
  <c r="G67" i="51"/>
  <c r="G75" i="51"/>
  <c r="G83" i="51"/>
  <c r="G91" i="51"/>
  <c r="G99" i="51"/>
  <c r="G107" i="51"/>
  <c r="G115" i="51"/>
  <c r="G123" i="51"/>
  <c r="G131" i="51"/>
  <c r="G139" i="51"/>
  <c r="G52" i="51"/>
  <c r="G60" i="51"/>
  <c r="G68" i="51"/>
  <c r="G76" i="51"/>
  <c r="G84" i="51"/>
  <c r="G92" i="51"/>
  <c r="G100" i="51"/>
  <c r="G108" i="51"/>
  <c r="G116" i="51"/>
  <c r="G124" i="51"/>
  <c r="G132" i="51"/>
  <c r="G140" i="51"/>
  <c r="G113" i="51"/>
  <c r="G105" i="51"/>
  <c r="G53" i="51"/>
  <c r="G61" i="51"/>
  <c r="G69" i="51"/>
  <c r="G77" i="51"/>
  <c r="G85" i="51"/>
  <c r="G93" i="51"/>
  <c r="G101" i="51"/>
  <c r="G109" i="51"/>
  <c r="G117" i="51"/>
  <c r="G125" i="51"/>
  <c r="G133" i="51"/>
  <c r="G141" i="51"/>
  <c r="G46" i="51"/>
  <c r="G54" i="51"/>
  <c r="G62" i="51"/>
  <c r="G70" i="51"/>
  <c r="G78" i="51"/>
  <c r="G86" i="51"/>
  <c r="G94" i="51"/>
  <c r="G102" i="51"/>
  <c r="G110" i="51"/>
  <c r="G118" i="51"/>
  <c r="G126" i="51"/>
  <c r="G134" i="51"/>
  <c r="G142" i="51"/>
  <c r="G47" i="51"/>
  <c r="G55" i="51"/>
  <c r="G63" i="51"/>
  <c r="G71" i="51"/>
  <c r="G79" i="51"/>
  <c r="G87" i="51"/>
  <c r="G95" i="51"/>
  <c r="G103" i="51"/>
  <c r="G119" i="51"/>
  <c r="G127" i="51"/>
  <c r="G135" i="51"/>
  <c r="G143" i="51"/>
  <c r="G81" i="51"/>
  <c r="G45" i="51"/>
  <c r="G39" i="51"/>
  <c r="N89" i="3"/>
  <c r="Q39" i="3"/>
  <c r="L61" i="3"/>
  <c r="H3" i="7"/>
  <c r="C3" i="36"/>
  <c r="F3" i="43"/>
  <c r="D3" i="50"/>
  <c r="F3" i="38"/>
  <c r="D3" i="52"/>
  <c r="D3" i="56"/>
  <c r="F3" i="29"/>
  <c r="D3" i="28"/>
  <c r="D3" i="53"/>
  <c r="D3" i="57"/>
  <c r="D3" i="19"/>
  <c r="I28" i="51"/>
  <c r="J35" i="51"/>
  <c r="AD35" i="51"/>
  <c r="J61" i="3"/>
  <c r="J64" i="3"/>
  <c r="H29" i="55"/>
  <c r="H15" i="51"/>
  <c r="Q35" i="51"/>
  <c r="H37" i="55"/>
  <c r="H31" i="55"/>
  <c r="H17" i="51"/>
  <c r="S35" i="51"/>
  <c r="N61" i="3"/>
  <c r="N64" i="3"/>
  <c r="W2" i="51"/>
  <c r="H23" i="51"/>
  <c r="H29" i="51"/>
  <c r="I24" i="51"/>
  <c r="I29" i="51"/>
  <c r="H38" i="55"/>
  <c r="H40" i="55"/>
  <c r="AA35" i="51"/>
  <c r="AB35" i="51"/>
  <c r="J29" i="51"/>
  <c r="W3" i="51"/>
  <c r="W4" i="51"/>
  <c r="AE35" i="51"/>
  <c r="AF35" i="51"/>
</calcChain>
</file>

<file path=xl/sharedStrings.xml><?xml version="1.0" encoding="utf-8"?>
<sst xmlns="http://schemas.openxmlformats.org/spreadsheetml/2006/main" count="13972" uniqueCount="3965">
  <si>
    <t>Employees</t>
  </si>
  <si>
    <t>(14)</t>
  </si>
  <si>
    <t>(1)</t>
  </si>
  <si>
    <t>(2)</t>
  </si>
  <si>
    <t>(3)</t>
  </si>
  <si>
    <t>(4)</t>
  </si>
  <si>
    <t>(5)</t>
  </si>
  <si>
    <t>(6)</t>
  </si>
  <si>
    <t>(7)</t>
  </si>
  <si>
    <t>(8)</t>
  </si>
  <si>
    <t>(9)</t>
  </si>
  <si>
    <t>(10)</t>
  </si>
  <si>
    <t>(11)</t>
  </si>
  <si>
    <t>(12)</t>
  </si>
  <si>
    <t>(13)</t>
  </si>
  <si>
    <t>Number</t>
  </si>
  <si>
    <t>Position Title</t>
  </si>
  <si>
    <t>SALARY</t>
  </si>
  <si>
    <t>FRINGE</t>
  </si>
  <si>
    <t>Fringe</t>
  </si>
  <si>
    <t>Base</t>
  </si>
  <si>
    <t>18-01</t>
  </si>
  <si>
    <t>18</t>
  </si>
  <si>
    <t>01</t>
  </si>
  <si>
    <t>18-02</t>
  </si>
  <si>
    <t>18-03</t>
  </si>
  <si>
    <t>18-04</t>
  </si>
  <si>
    <t>18-05</t>
  </si>
  <si>
    <t>18-06</t>
  </si>
  <si>
    <t>18-07</t>
  </si>
  <si>
    <t>18-08</t>
  </si>
  <si>
    <t>19-01</t>
  </si>
  <si>
    <t>19</t>
  </si>
  <si>
    <t>19-02</t>
  </si>
  <si>
    <t>19-03</t>
  </si>
  <si>
    <t>19-04</t>
  </si>
  <si>
    <t>19-05</t>
  </si>
  <si>
    <t>19-06</t>
  </si>
  <si>
    <t>19-07</t>
  </si>
  <si>
    <t>19-08</t>
  </si>
  <si>
    <t>20-01</t>
  </si>
  <si>
    <t>20</t>
  </si>
  <si>
    <t>20-02</t>
  </si>
  <si>
    <t>20-03</t>
  </si>
  <si>
    <t>20-04</t>
  </si>
  <si>
    <t>20-05</t>
  </si>
  <si>
    <t>20-06</t>
  </si>
  <si>
    <t>20-07</t>
  </si>
  <si>
    <t>20-08</t>
  </si>
  <si>
    <t>21-01</t>
  </si>
  <si>
    <t>21</t>
  </si>
  <si>
    <t>21-02</t>
  </si>
  <si>
    <t>21-03</t>
  </si>
  <si>
    <t>21-04</t>
  </si>
  <si>
    <t>21-05</t>
  </si>
  <si>
    <t>21-06</t>
  </si>
  <si>
    <t>21-07</t>
  </si>
  <si>
    <t>21-08</t>
  </si>
  <si>
    <t>22-01</t>
  </si>
  <si>
    <t>22</t>
  </si>
  <si>
    <t>22-02</t>
  </si>
  <si>
    <t>22-03</t>
  </si>
  <si>
    <t>22-04</t>
  </si>
  <si>
    <t>22-05</t>
  </si>
  <si>
    <t>22-06</t>
  </si>
  <si>
    <t>22-07</t>
  </si>
  <si>
    <t>22-08</t>
  </si>
  <si>
    <t>23-01</t>
  </si>
  <si>
    <t>23</t>
  </si>
  <si>
    <t>23-02</t>
  </si>
  <si>
    <t>23-03</t>
  </si>
  <si>
    <t>23-04</t>
  </si>
  <si>
    <t>23-05</t>
  </si>
  <si>
    <t>23-06</t>
  </si>
  <si>
    <t>23-07</t>
  </si>
  <si>
    <t>23-08</t>
  </si>
  <si>
    <t>24-01</t>
  </si>
  <si>
    <t>24</t>
  </si>
  <si>
    <t>24-02</t>
  </si>
  <si>
    <t>24-03</t>
  </si>
  <si>
    <t>24-04</t>
  </si>
  <si>
    <t>24-05</t>
  </si>
  <si>
    <t>24-06</t>
  </si>
  <si>
    <t>24-07</t>
  </si>
  <si>
    <t>24-08</t>
  </si>
  <si>
    <t>25-01</t>
  </si>
  <si>
    <t>25</t>
  </si>
  <si>
    <t>25-02</t>
  </si>
  <si>
    <t>25-03</t>
  </si>
  <si>
    <t>25-04</t>
  </si>
  <si>
    <t>25-05</t>
  </si>
  <si>
    <t>25-06</t>
  </si>
  <si>
    <t>25-07</t>
  </si>
  <si>
    <t>25-08</t>
  </si>
  <si>
    <t>26-01</t>
  </si>
  <si>
    <t>26</t>
  </si>
  <si>
    <t>26-02</t>
  </si>
  <si>
    <t>26-03</t>
  </si>
  <si>
    <t>26-04</t>
  </si>
  <si>
    <t>26-05</t>
  </si>
  <si>
    <t>26-06</t>
  </si>
  <si>
    <t>26-07</t>
  </si>
  <si>
    <t>26-08</t>
  </si>
  <si>
    <t>27-01</t>
  </si>
  <si>
    <t>27</t>
  </si>
  <si>
    <t>27-02</t>
  </si>
  <si>
    <t>27-03</t>
  </si>
  <si>
    <t>27-04</t>
  </si>
  <si>
    <t>27-05</t>
  </si>
  <si>
    <t>27-06</t>
  </si>
  <si>
    <t>27-07</t>
  </si>
  <si>
    <t>27-08</t>
  </si>
  <si>
    <t>28-01</t>
  </si>
  <si>
    <t>28</t>
  </si>
  <si>
    <t>28-02</t>
  </si>
  <si>
    <t>28-03</t>
  </si>
  <si>
    <t>28-04</t>
  </si>
  <si>
    <t>28-05</t>
  </si>
  <si>
    <t>28-06</t>
  </si>
  <si>
    <t>28-07</t>
  </si>
  <si>
    <t>28-08</t>
  </si>
  <si>
    <t>29-01</t>
  </si>
  <si>
    <t>29</t>
  </si>
  <si>
    <t>29-02</t>
  </si>
  <si>
    <t>29-03</t>
  </si>
  <si>
    <t>29-04</t>
  </si>
  <si>
    <t>29-05</t>
  </si>
  <si>
    <t>29-06</t>
  </si>
  <si>
    <t>29-07</t>
  </si>
  <si>
    <t>29-08</t>
  </si>
  <si>
    <t>30-01</t>
  </si>
  <si>
    <t>30</t>
  </si>
  <si>
    <t>30-02</t>
  </si>
  <si>
    <t>30-03</t>
  </si>
  <si>
    <t>30-04</t>
  </si>
  <si>
    <t>30-05</t>
  </si>
  <si>
    <t>30-06</t>
  </si>
  <si>
    <t>30-07</t>
  </si>
  <si>
    <t>30-08</t>
  </si>
  <si>
    <t>31-01</t>
  </si>
  <si>
    <t>31</t>
  </si>
  <si>
    <t>31-02</t>
  </si>
  <si>
    <t>31-03</t>
  </si>
  <si>
    <t>31-04</t>
  </si>
  <si>
    <t>31-05</t>
  </si>
  <si>
    <t>31-06</t>
  </si>
  <si>
    <t>31-07</t>
  </si>
  <si>
    <t>31-08</t>
  </si>
  <si>
    <t>32-01</t>
  </si>
  <si>
    <t>32</t>
  </si>
  <si>
    <t>32-02</t>
  </si>
  <si>
    <t>32-03</t>
  </si>
  <si>
    <t>32-04</t>
  </si>
  <si>
    <t>32-05</t>
  </si>
  <si>
    <t>32-06</t>
  </si>
  <si>
    <t>32-07</t>
  </si>
  <si>
    <t>32-08</t>
  </si>
  <si>
    <t>33-01</t>
  </si>
  <si>
    <t>33</t>
  </si>
  <si>
    <t>33-02</t>
  </si>
  <si>
    <t>33-03</t>
  </si>
  <si>
    <t>33-04</t>
  </si>
  <si>
    <t>33-05</t>
  </si>
  <si>
    <t>33-06</t>
  </si>
  <si>
    <t>33-07</t>
  </si>
  <si>
    <t>33-08</t>
  </si>
  <si>
    <t>34-01</t>
  </si>
  <si>
    <t>34</t>
  </si>
  <si>
    <t>34-02</t>
  </si>
  <si>
    <t>34-03</t>
  </si>
  <si>
    <t>34-04</t>
  </si>
  <si>
    <t>34-05</t>
  </si>
  <si>
    <t>34-06</t>
  </si>
  <si>
    <t>34-07</t>
  </si>
  <si>
    <t>34-08</t>
  </si>
  <si>
    <t>35-01</t>
  </si>
  <si>
    <t>35</t>
  </si>
  <si>
    <t>35-02</t>
  </si>
  <si>
    <t>35-03</t>
  </si>
  <si>
    <t>35-04</t>
  </si>
  <si>
    <t>35-05</t>
  </si>
  <si>
    <t>35-06</t>
  </si>
  <si>
    <t>35-07</t>
  </si>
  <si>
    <t>35-08</t>
  </si>
  <si>
    <t>36-01</t>
  </si>
  <si>
    <t>36</t>
  </si>
  <si>
    <t>36-02</t>
  </si>
  <si>
    <t>36-03</t>
  </si>
  <si>
    <t>36-04</t>
  </si>
  <si>
    <t>36-05</t>
  </si>
  <si>
    <t>36-06</t>
  </si>
  <si>
    <t>36-07</t>
  </si>
  <si>
    <t>36-08</t>
  </si>
  <si>
    <t>37-01</t>
  </si>
  <si>
    <t>37</t>
  </si>
  <si>
    <t>37-02</t>
  </si>
  <si>
    <t>37-03</t>
  </si>
  <si>
    <t>37-04</t>
  </si>
  <si>
    <t>37-05</t>
  </si>
  <si>
    <t>37-06</t>
  </si>
  <si>
    <t>37-07</t>
  </si>
  <si>
    <t>37-08</t>
  </si>
  <si>
    <t>38-01</t>
  </si>
  <si>
    <t>38</t>
  </si>
  <si>
    <t>38-02</t>
  </si>
  <si>
    <t>38-03</t>
  </si>
  <si>
    <t>38-04</t>
  </si>
  <si>
    <t>38-05</t>
  </si>
  <si>
    <t>38-06</t>
  </si>
  <si>
    <t>38-07</t>
  </si>
  <si>
    <t>38-08</t>
  </si>
  <si>
    <t>39-01</t>
  </si>
  <si>
    <t>39</t>
  </si>
  <si>
    <t>39-02</t>
  </si>
  <si>
    <t>39-03</t>
  </si>
  <si>
    <t>39-04</t>
  </si>
  <si>
    <t>39-05</t>
  </si>
  <si>
    <t>39-06</t>
  </si>
  <si>
    <t>39-07</t>
  </si>
  <si>
    <t>39-08</t>
  </si>
  <si>
    <t>40-01</t>
  </si>
  <si>
    <t>40</t>
  </si>
  <si>
    <t>40-02</t>
  </si>
  <si>
    <t>40-03</t>
  </si>
  <si>
    <t>40-04</t>
  </si>
  <si>
    <t>40-05</t>
  </si>
  <si>
    <t>40-06</t>
  </si>
  <si>
    <t>40-07</t>
  </si>
  <si>
    <t>40-08</t>
  </si>
  <si>
    <t>DATE</t>
  </si>
  <si>
    <t>MULTIPLIER</t>
  </si>
  <si>
    <t>WORKDAYS</t>
  </si>
  <si>
    <t>DAYOFWEEK</t>
  </si>
  <si>
    <t>Wednesday</t>
  </si>
  <si>
    <t>Thursday</t>
  </si>
  <si>
    <t>Friday</t>
  </si>
  <si>
    <t>Saturday</t>
  </si>
  <si>
    <t>Sunday</t>
  </si>
  <si>
    <t>Monday</t>
  </si>
  <si>
    <t>Tuesday</t>
  </si>
  <si>
    <t>ACCOUNT TITLE</t>
  </si>
  <si>
    <t>ACCOUNT NUMBER</t>
  </si>
  <si>
    <t>$</t>
  </si>
  <si>
    <t>FTE</t>
  </si>
  <si>
    <t>Position</t>
  </si>
  <si>
    <t>Salary</t>
  </si>
  <si>
    <t>Adjusted</t>
  </si>
  <si>
    <t>Longevity</t>
  </si>
  <si>
    <t>UNLV</t>
  </si>
  <si>
    <t>LOA</t>
  </si>
  <si>
    <t>18-09</t>
  </si>
  <si>
    <t>19-09</t>
  </si>
  <si>
    <t>20-09</t>
  </si>
  <si>
    <t>21-09</t>
  </si>
  <si>
    <t>22-09</t>
  </si>
  <si>
    <t>23-09</t>
  </si>
  <si>
    <t>24-09</t>
  </si>
  <si>
    <t>25-09</t>
  </si>
  <si>
    <t>26-09</t>
  </si>
  <si>
    <t>27-09</t>
  </si>
  <si>
    <t>28-09</t>
  </si>
  <si>
    <t>29-09</t>
  </si>
  <si>
    <t>30-09</t>
  </si>
  <si>
    <t>31-09</t>
  </si>
  <si>
    <t>32-09</t>
  </si>
  <si>
    <t>33-09</t>
  </si>
  <si>
    <t>34-09</t>
  </si>
  <si>
    <t>35-09</t>
  </si>
  <si>
    <t>36-09</t>
  </si>
  <si>
    <t>37-09</t>
  </si>
  <si>
    <t>38-09</t>
  </si>
  <si>
    <t>39-09</t>
  </si>
  <si>
    <t>40-09</t>
  </si>
  <si>
    <t>Fund</t>
  </si>
  <si>
    <t>Hire</t>
  </si>
  <si>
    <t>COLA</t>
  </si>
  <si>
    <t>TOTAL FRINGE BENEFITS</t>
  </si>
  <si>
    <t>1gradestep</t>
  </si>
  <si>
    <t>2annual</t>
  </si>
  <si>
    <t>3semimonth</t>
  </si>
  <si>
    <t>4grade</t>
  </si>
  <si>
    <t>5step</t>
  </si>
  <si>
    <t>6annualsal</t>
  </si>
  <si>
    <t>7semisal</t>
  </si>
  <si>
    <t>8meritann</t>
  </si>
  <si>
    <t>9meritsemi</t>
  </si>
  <si>
    <t>18-10</t>
  </si>
  <si>
    <t>19-10</t>
  </si>
  <si>
    <t>20-10</t>
  </si>
  <si>
    <t>21-10</t>
  </si>
  <si>
    <t>22-10</t>
  </si>
  <si>
    <t>23-10</t>
  </si>
  <si>
    <t>24-10</t>
  </si>
  <si>
    <t>25-10</t>
  </si>
  <si>
    <t>26-10</t>
  </si>
  <si>
    <t>27-10</t>
  </si>
  <si>
    <t>28-10</t>
  </si>
  <si>
    <t>29-10</t>
  </si>
  <si>
    <t>30-10</t>
  </si>
  <si>
    <t>31-10</t>
  </si>
  <si>
    <t>32-10</t>
  </si>
  <si>
    <t>33-10</t>
  </si>
  <si>
    <t>34-10</t>
  </si>
  <si>
    <t>35-10</t>
  </si>
  <si>
    <t>36-10</t>
  </si>
  <si>
    <t>37-10</t>
  </si>
  <si>
    <t>38-10</t>
  </si>
  <si>
    <t>39-10</t>
  </si>
  <si>
    <t>40-10</t>
  </si>
  <si>
    <t>41-01</t>
  </si>
  <si>
    <t>41-02</t>
  </si>
  <si>
    <t>41-03</t>
  </si>
  <si>
    <t>41-04</t>
  </si>
  <si>
    <t>41-05</t>
  </si>
  <si>
    <t>41-06</t>
  </si>
  <si>
    <t>41-07</t>
  </si>
  <si>
    <t>41-08</t>
  </si>
  <si>
    <t>41-09</t>
  </si>
  <si>
    <t>41-10</t>
  </si>
  <si>
    <t>42-01</t>
  </si>
  <si>
    <t>42-02</t>
  </si>
  <si>
    <t>42-03</t>
  </si>
  <si>
    <t>42-04</t>
  </si>
  <si>
    <t>42-05</t>
  </si>
  <si>
    <t>42-06</t>
  </si>
  <si>
    <t>42-07</t>
  </si>
  <si>
    <t>42-08</t>
  </si>
  <si>
    <t>42-09</t>
  </si>
  <si>
    <t>42-10</t>
  </si>
  <si>
    <t>Prepared by:</t>
  </si>
  <si>
    <t>Total</t>
  </si>
  <si>
    <t>LOB</t>
  </si>
  <si>
    <t>FY08</t>
  </si>
  <si>
    <t>Monthly</t>
  </si>
  <si>
    <t>Post Doc</t>
  </si>
  <si>
    <t>Retirement</t>
  </si>
  <si>
    <t>NA</t>
  </si>
  <si>
    <t>Workers Comp *</t>
  </si>
  <si>
    <t>Medicare</t>
  </si>
  <si>
    <t>Unemply</t>
  </si>
  <si>
    <t>REGIA</t>
  </si>
  <si>
    <t>FICA *</t>
  </si>
  <si>
    <t>* Workers Comp assessed on salary up to $36,000</t>
  </si>
  <si>
    <t>* FICA assessed on salary up to $94,200</t>
  </si>
  <si>
    <t>Fringe:</t>
  </si>
  <si>
    <t>Pay</t>
  </si>
  <si>
    <t>Classified
Overtime</t>
  </si>
  <si>
    <t>Prof &amp; Class Employee
Contribution</t>
  </si>
  <si>
    <t>Class
Employer
Contribution</t>
  </si>
  <si>
    <t>Bimonthly</t>
  </si>
  <si>
    <t>New</t>
  </si>
  <si>
    <t>Merit</t>
  </si>
  <si>
    <t>Date</t>
  </si>
  <si>
    <t>Obj</t>
  </si>
  <si>
    <t>Total all other categories</t>
  </si>
  <si>
    <t>BUDGET</t>
  </si>
  <si>
    <t>TOTAL TRANSFERS IN</t>
  </si>
  <si>
    <t>ACTUAL</t>
  </si>
  <si>
    <t>Account Number</t>
  </si>
  <si>
    <t>1. INSTITUTION</t>
  </si>
  <si>
    <t>4. DEPARTMENT</t>
  </si>
  <si>
    <t>8. ORG MANAGER</t>
  </si>
  <si>
    <t>* FICA assessed on salary up to $97,500</t>
  </si>
  <si>
    <t>Other Fringe</t>
  </si>
  <si>
    <t>Total Fringe</t>
  </si>
  <si>
    <t>FY07 Fringe Benefit Rates</t>
  </si>
  <si>
    <t>Calc</t>
  </si>
  <si>
    <t>Purpose</t>
  </si>
  <si>
    <t>INSTRUCTIONS: Update date for correct fiscal year.  All other fields remain unchanged.</t>
  </si>
  <si>
    <t>43-01</t>
  </si>
  <si>
    <t>43-02</t>
  </si>
  <si>
    <t>43-03</t>
  </si>
  <si>
    <t>43-04</t>
  </si>
  <si>
    <t>43-05</t>
  </si>
  <si>
    <t>43-06</t>
  </si>
  <si>
    <t>43-07</t>
  </si>
  <si>
    <t>43-08</t>
  </si>
  <si>
    <t>43-09</t>
  </si>
  <si>
    <t>43-10</t>
  </si>
  <si>
    <t>44-01</t>
  </si>
  <si>
    <t>44-02</t>
  </si>
  <si>
    <t>44-03</t>
  </si>
  <si>
    <t>44-04</t>
  </si>
  <si>
    <t>44-05</t>
  </si>
  <si>
    <t>44-06</t>
  </si>
  <si>
    <t>44-07</t>
  </si>
  <si>
    <t>44-08</t>
  </si>
  <si>
    <t>44-09</t>
  </si>
  <si>
    <t>44-10</t>
  </si>
  <si>
    <t>45-01</t>
  </si>
  <si>
    <t>45-02</t>
  </si>
  <si>
    <t>45-03</t>
  </si>
  <si>
    <t>45-04</t>
  </si>
  <si>
    <t>45-05</t>
  </si>
  <si>
    <t>45-06</t>
  </si>
  <si>
    <t>45-07</t>
  </si>
  <si>
    <t>45-08</t>
  </si>
  <si>
    <t>45-09</t>
  </si>
  <si>
    <t>45-10</t>
  </si>
  <si>
    <t>46-01</t>
  </si>
  <si>
    <t>46-02</t>
  </si>
  <si>
    <t>46-03</t>
  </si>
  <si>
    <t>46-04</t>
  </si>
  <si>
    <t>46-05</t>
  </si>
  <si>
    <t>46-06</t>
  </si>
  <si>
    <t>46-07</t>
  </si>
  <si>
    <t>46-08</t>
  </si>
  <si>
    <t>46-09</t>
  </si>
  <si>
    <t>46-10</t>
  </si>
  <si>
    <t>47-01</t>
  </si>
  <si>
    <t>47-02</t>
  </si>
  <si>
    <t>47-03</t>
  </si>
  <si>
    <t>47-04</t>
  </si>
  <si>
    <t>47-05</t>
  </si>
  <si>
    <t>47-06</t>
  </si>
  <si>
    <t>47-07</t>
  </si>
  <si>
    <t>47-08</t>
  </si>
  <si>
    <t>47-09</t>
  </si>
  <si>
    <t>47-10</t>
  </si>
  <si>
    <t>48-01</t>
  </si>
  <si>
    <t>48-02</t>
  </si>
  <si>
    <t>48-03</t>
  </si>
  <si>
    <t>48-04</t>
  </si>
  <si>
    <t>48-05</t>
  </si>
  <si>
    <t>48-06</t>
  </si>
  <si>
    <t>48-07</t>
  </si>
  <si>
    <t>48-08</t>
  </si>
  <si>
    <t>48-09</t>
  </si>
  <si>
    <t>48-10</t>
  </si>
  <si>
    <t>49-01</t>
  </si>
  <si>
    <t>49-02</t>
  </si>
  <si>
    <t>49-03</t>
  </si>
  <si>
    <t>49-04</t>
  </si>
  <si>
    <t>49-05</t>
  </si>
  <si>
    <t>49-06</t>
  </si>
  <si>
    <t>49-07</t>
  </si>
  <si>
    <t>49-08</t>
  </si>
  <si>
    <t>49-09</t>
  </si>
  <si>
    <t>49-10</t>
  </si>
  <si>
    <t>50-01</t>
  </si>
  <si>
    <t>50-02</t>
  </si>
  <si>
    <t>50-03</t>
  </si>
  <si>
    <t>50-04</t>
  </si>
  <si>
    <t>50-05</t>
  </si>
  <si>
    <t>50-06</t>
  </si>
  <si>
    <t>50-07</t>
  </si>
  <si>
    <t>50-08</t>
  </si>
  <si>
    <t>50-09</t>
  </si>
  <si>
    <t>50-10</t>
  </si>
  <si>
    <t>51-01</t>
  </si>
  <si>
    <t>51-02</t>
  </si>
  <si>
    <t>51-03</t>
  </si>
  <si>
    <t>51-04</t>
  </si>
  <si>
    <t>51-05</t>
  </si>
  <si>
    <t>51-06</t>
  </si>
  <si>
    <t>51-07</t>
  </si>
  <si>
    <t>51-08</t>
  </si>
  <si>
    <t>51-09</t>
  </si>
  <si>
    <t>51-10</t>
  </si>
  <si>
    <t>52-01</t>
  </si>
  <si>
    <t>52-02</t>
  </si>
  <si>
    <t>52-03</t>
  </si>
  <si>
    <t>52-04</t>
  </si>
  <si>
    <t>52-05</t>
  </si>
  <si>
    <t>52-06</t>
  </si>
  <si>
    <t>52-07</t>
  </si>
  <si>
    <t>52-08</t>
  </si>
  <si>
    <t>52-09</t>
  </si>
  <si>
    <t>52-10</t>
  </si>
  <si>
    <t>53-01</t>
  </si>
  <si>
    <t>53-02</t>
  </si>
  <si>
    <t>53-03</t>
  </si>
  <si>
    <t>53-04</t>
  </si>
  <si>
    <t>53-05</t>
  </si>
  <si>
    <t>53-06</t>
  </si>
  <si>
    <t>53-07</t>
  </si>
  <si>
    <t>53-08</t>
  </si>
  <si>
    <t>53-09</t>
  </si>
  <si>
    <t>53-10</t>
  </si>
  <si>
    <t>54-01</t>
  </si>
  <si>
    <t>54-02</t>
  </si>
  <si>
    <t>54-03</t>
  </si>
  <si>
    <t>54-04</t>
  </si>
  <si>
    <t>54-05</t>
  </si>
  <si>
    <t>54-06</t>
  </si>
  <si>
    <t>54-07</t>
  </si>
  <si>
    <t>54-08</t>
  </si>
  <si>
    <t>54-09</t>
  </si>
  <si>
    <t>54-10</t>
  </si>
  <si>
    <t>55-01</t>
  </si>
  <si>
    <t>55-02</t>
  </si>
  <si>
    <t>55-03</t>
  </si>
  <si>
    <t>55-04</t>
  </si>
  <si>
    <t>55-05</t>
  </si>
  <si>
    <t>55-06</t>
  </si>
  <si>
    <t>55-07</t>
  </si>
  <si>
    <t>55-08</t>
  </si>
  <si>
    <t>55-09</t>
  </si>
  <si>
    <t>55-10</t>
  </si>
  <si>
    <t>Instructions</t>
  </si>
  <si>
    <t>Column A-grade-step for annual &amp; semi-annual.</t>
  </si>
  <si>
    <t>Column B-annual salary</t>
  </si>
  <si>
    <t>Column D-grade</t>
  </si>
  <si>
    <t>Column E-step</t>
  </si>
  <si>
    <t>Column F same as Column B</t>
  </si>
  <si>
    <t>Column G same as Column C</t>
  </si>
  <si>
    <t xml:space="preserve">Column H skips to Row 2 (18-01 becomes 18-02, </t>
  </si>
  <si>
    <t>Column I same as H for pay period amount</t>
  </si>
  <si>
    <t>No changes to columns A - K</t>
  </si>
  <si>
    <t>Only fields highlighted in blue need to be updated</t>
  </si>
  <si>
    <t>16-06</t>
  </si>
  <si>
    <t>16-09</t>
  </si>
  <si>
    <t>16-04</t>
  </si>
  <si>
    <t>16-50</t>
  </si>
  <si>
    <t>16-02</t>
  </si>
  <si>
    <t>Column C-annual salary per pay period</t>
  </si>
  <si>
    <t>18-09 stays the same)  Merit (step increase)</t>
  </si>
  <si>
    <t>FY09</t>
  </si>
  <si>
    <t>Explanatory Notes</t>
  </si>
  <si>
    <t>1</t>
  </si>
  <si>
    <t>2</t>
  </si>
  <si>
    <t>3</t>
  </si>
  <si>
    <t>4</t>
  </si>
  <si>
    <t>5</t>
  </si>
  <si>
    <t>6</t>
  </si>
  <si>
    <t>7</t>
  </si>
  <si>
    <t>8</t>
  </si>
  <si>
    <t>9</t>
  </si>
  <si>
    <t>10</t>
  </si>
  <si>
    <t>Note</t>
  </si>
  <si>
    <t>16-08</t>
  </si>
  <si>
    <t xml:space="preserve">NA  </t>
  </si>
  <si>
    <t>Workers Comp **</t>
  </si>
  <si>
    <r>
      <t>VOLUNTARY TRANSFERS OUT:</t>
    </r>
    <r>
      <rPr>
        <sz val="10"/>
        <rFont val="Arial"/>
        <family val="2"/>
      </rPr>
      <t xml:space="preserve"> </t>
    </r>
  </si>
  <si>
    <t>ADJ SAL</t>
  </si>
  <si>
    <t>GRADUATE SALARIES</t>
  </si>
  <si>
    <t>State Assmt</t>
  </si>
  <si>
    <t>FY08 Fringe Benefit Rates - LEGISLATIVE APPROVED</t>
  </si>
  <si>
    <t>16-XX</t>
  </si>
  <si>
    <t>Budget</t>
  </si>
  <si>
    <t>YEAR-TO-DATE</t>
  </si>
  <si>
    <t>TOTAL</t>
  </si>
  <si>
    <t>FY10</t>
  </si>
  <si>
    <t>% Change</t>
  </si>
  <si>
    <t>EXTERNAL REVENUE SOURCE</t>
  </si>
  <si>
    <t>TOTAL REVENUE BUDGET</t>
  </si>
  <si>
    <t>Name/Ext.</t>
  </si>
  <si>
    <t>VOLUNTARY TRANSFERS OUT</t>
  </si>
  <si>
    <t>TOTAL EXPENSE BUDGET</t>
  </si>
  <si>
    <t>PROFESSIONAL SALARIES</t>
  </si>
  <si>
    <t xml:space="preserve">PROJECTED </t>
  </si>
  <si>
    <t>Position #</t>
  </si>
  <si>
    <t>PROJECTED</t>
  </si>
  <si>
    <r>
      <t>MANDATORY TRANSFERS OUT:</t>
    </r>
    <r>
      <rPr>
        <sz val="10"/>
        <rFont val="Arial"/>
        <family val="2"/>
      </rPr>
      <t xml:space="preserve"> </t>
    </r>
  </si>
  <si>
    <t>Projected</t>
  </si>
  <si>
    <t>OPERATIONS CATEGORY</t>
  </si>
  <si>
    <t>FORM 2: PROFESSIONAL RATES</t>
  </si>
  <si>
    <t>FORM 3: CLASSIFIED RATES</t>
  </si>
  <si>
    <t>FORM 1: GRAD</t>
  </si>
  <si>
    <t>FORM 1: WAGES</t>
  </si>
  <si>
    <t>Health Ins Premium/Annual</t>
  </si>
  <si>
    <t>FY07</t>
  </si>
  <si>
    <t>EMPLOYER
CONTRIBUTION
EPC RATE</t>
  </si>
  <si>
    <t xml:space="preserve">EMPLOYEE
CONTRIBUTION
</t>
  </si>
  <si>
    <t>RETIREMENT</t>
  </si>
  <si>
    <t>MEDICARE</t>
  </si>
  <si>
    <t>UNEMPLOYMENT</t>
  </si>
  <si>
    <t>PERSONNEL ASSMT</t>
  </si>
  <si>
    <t>SUBTOTAL</t>
  </si>
  <si>
    <t>30-38</t>
  </si>
  <si>
    <t>5. FUNCTION/ADMIN</t>
  </si>
  <si>
    <t>Grade/</t>
  </si>
  <si>
    <t>Step</t>
  </si>
  <si>
    <t>BEGINNING CASH BALANCE</t>
  </si>
  <si>
    <t>DATA</t>
  </si>
  <si>
    <t>FORM</t>
  </si>
  <si>
    <t>FROM</t>
  </si>
  <si>
    <t>BUDGET SUMMARY FORM</t>
  </si>
  <si>
    <t>BUDGET MUST BALANCE (REVENUE ≡ EXPENSE)</t>
  </si>
  <si>
    <t>EPC</t>
  </si>
  <si>
    <t>FORM 2A: PROFESSIONAL RATES</t>
  </si>
  <si>
    <t>FORM 2B: CLASSIFIED RATES</t>
  </si>
  <si>
    <t>SUMMARY:GRAD &amp; WAGES</t>
  </si>
  <si>
    <t xml:space="preserve">* </t>
  </si>
  <si>
    <r>
      <t xml:space="preserve">FICA </t>
    </r>
    <r>
      <rPr>
        <sz val="8"/>
        <rFont val="Arial"/>
        <family val="2"/>
      </rPr>
      <t>(1)</t>
    </r>
  </si>
  <si>
    <r>
      <t xml:space="preserve">WORKERS COMP </t>
    </r>
    <r>
      <rPr>
        <sz val="8"/>
        <rFont val="Arial"/>
        <family val="2"/>
      </rPr>
      <t>(2)</t>
    </r>
  </si>
  <si>
    <t>Notes FY09:</t>
  </si>
  <si>
    <r>
      <t xml:space="preserve">(2) </t>
    </r>
    <r>
      <rPr>
        <sz val="10"/>
        <rFont val="Arial"/>
        <family val="2"/>
      </rPr>
      <t>Workers Comp assessed on salary up to $36,000 (Maximum $540)</t>
    </r>
  </si>
  <si>
    <r>
      <t>(3)</t>
    </r>
    <r>
      <rPr>
        <sz val="10"/>
        <rFont val="Arial"/>
        <family val="2"/>
      </rPr>
      <t xml:space="preserve"> One month Health Insurance Premuim holiday - forms calculate 11 months expense.</t>
    </r>
  </si>
  <si>
    <t>Notes FY10:</t>
  </si>
  <si>
    <t xml:space="preserve">MANDATORY TRANSFERS OUT </t>
  </si>
  <si>
    <t>Periods</t>
  </si>
  <si>
    <t>#</t>
  </si>
  <si>
    <t>16-03</t>
  </si>
  <si>
    <t>TOTAL  REVENUE</t>
  </si>
  <si>
    <r>
      <t xml:space="preserve">HEALTH PREMIUM ANNUAL </t>
    </r>
    <r>
      <rPr>
        <sz val="8"/>
        <rFont val="Arial"/>
        <family val="2"/>
      </rPr>
      <t>(3)</t>
    </r>
  </si>
  <si>
    <t>FY10 Budgets prepared using Governors Recommended rates</t>
  </si>
  <si>
    <t>Updated 07/01/09 for Legislatively Approved rates</t>
  </si>
  <si>
    <t>GR</t>
  </si>
  <si>
    <t>LA</t>
  </si>
  <si>
    <t>Health</t>
  </si>
  <si>
    <t>Changes</t>
  </si>
  <si>
    <t>Change</t>
  </si>
  <si>
    <t>NEW ACCOUNT</t>
  </si>
  <si>
    <t>EPC FACTOR</t>
  </si>
  <si>
    <t>FY11</t>
  </si>
  <si>
    <t>LAW</t>
  </si>
  <si>
    <t>DENTAL</t>
  </si>
  <si>
    <t>ICA</t>
  </si>
  <si>
    <t>BCS</t>
  </si>
  <si>
    <t>Account:</t>
  </si>
  <si>
    <t>Account Number:</t>
  </si>
  <si>
    <t>NON-
STUDENT
WAGES</t>
  </si>
  <si>
    <t xml:space="preserve">OVERTIME
</t>
  </si>
  <si>
    <t>FY09 Fringe Benefit Rates - LEGISLATIVE APPROVED  (budgets were prepared with Governor's Recommended rates - see FY09 Form</t>
  </si>
  <si>
    <r>
      <t>(4)</t>
    </r>
    <r>
      <rPr>
        <sz val="10"/>
        <rFont val="Arial"/>
        <family val="2"/>
      </rPr>
      <t xml:space="preserve"> REGIA originally approved at 4.29% - adjusted to actual at year end 2.97%</t>
    </r>
  </si>
  <si>
    <t>*</t>
  </si>
  <si>
    <r>
      <t>(1)</t>
    </r>
    <r>
      <rPr>
        <sz val="10"/>
        <rFont val="Arial"/>
        <family val="2"/>
      </rPr>
      <t xml:space="preserve"> FICA assessed on salary up to $102,000</t>
    </r>
  </si>
  <si>
    <t>**</t>
  </si>
  <si>
    <r>
      <t xml:space="preserve">(3) </t>
    </r>
    <r>
      <rPr>
        <sz val="10"/>
        <rFont val="Arial"/>
        <family val="2"/>
      </rPr>
      <t>Health Insurance $626.50/month</t>
    </r>
  </si>
  <si>
    <r>
      <t>(1)</t>
    </r>
    <r>
      <rPr>
        <sz val="10"/>
        <rFont val="Arial"/>
        <family val="2"/>
      </rPr>
      <t xml:space="preserve"> * FICA Alternative.  Adjust for employees eligible for FICA @ 6.2% on Form B1 (Assessed on salary up to $106,800)</t>
    </r>
  </si>
  <si>
    <t>Notes FY11:</t>
  </si>
  <si>
    <t>BUDGETED FRINGE BENEFIT RATES</t>
  </si>
  <si>
    <t>Updated:</t>
  </si>
  <si>
    <t>As of Month End:</t>
  </si>
  <si>
    <t>Stipend</t>
  </si>
  <si>
    <t>Special</t>
  </si>
  <si>
    <t>Spec</t>
  </si>
  <si>
    <t>Part</t>
  </si>
  <si>
    <t>Time</t>
  </si>
  <si>
    <t>Split</t>
  </si>
  <si>
    <t>Account</t>
  </si>
  <si>
    <t>Y</t>
  </si>
  <si>
    <t>-</t>
  </si>
  <si>
    <t>Current</t>
  </si>
  <si>
    <t>07/01</t>
  </si>
  <si>
    <t>(4b)</t>
  </si>
  <si>
    <t>Eliminated</t>
  </si>
  <si>
    <t xml:space="preserve">New </t>
  </si>
  <si>
    <t>N</t>
  </si>
  <si>
    <t>Furlough Adjustment</t>
  </si>
  <si>
    <t>ACCOUNT NUMBER:</t>
  </si>
  <si>
    <t>LOA Duties:</t>
  </si>
  <si>
    <t>SPAY</t>
  </si>
  <si>
    <t>(4a)</t>
  </si>
  <si>
    <t>EPC/New/Eliminated</t>
  </si>
  <si>
    <t>Part Time</t>
  </si>
  <si>
    <t>Stipend Duties:</t>
  </si>
  <si>
    <t>S1</t>
  </si>
  <si>
    <t>S2</t>
  </si>
  <si>
    <t>S3</t>
  </si>
  <si>
    <t>S4</t>
  </si>
  <si>
    <t>S5</t>
  </si>
  <si>
    <t>S-PAY</t>
  </si>
  <si>
    <t>BASE SAL</t>
  </si>
  <si>
    <t>TOTALS</t>
  </si>
  <si>
    <r>
      <t xml:space="preserve">(3) </t>
    </r>
    <r>
      <rPr>
        <sz val="10"/>
        <rFont val="Arial"/>
        <family val="2"/>
      </rPr>
      <t>Health Insurance $680.83/month.  If health benefits are paid for Grad Students, enter in field provided on Form B1.</t>
    </r>
  </si>
  <si>
    <t>FY10 Fringe Benefit Rates - LEGISLATIVE APPROVED</t>
  </si>
  <si>
    <t>FY12</t>
  </si>
  <si>
    <t>FY12 FRINGE BENEFIT RATES - GOVERNOR'S RECOMMENDED</t>
  </si>
  <si>
    <t>MEDICARE *</t>
  </si>
  <si>
    <t>REGIA (after reversion) *</t>
  </si>
  <si>
    <t>UNEMPLOYMENT *</t>
  </si>
  <si>
    <t>* Furlough Adjustment</t>
  </si>
  <si>
    <t>EPC POLICE</t>
  </si>
  <si>
    <t>OTHER</t>
  </si>
  <si>
    <t>R1</t>
  </si>
  <si>
    <t>E1</t>
  </si>
  <si>
    <t>E2</t>
  </si>
  <si>
    <t>E3</t>
  </si>
  <si>
    <t>E4</t>
  </si>
  <si>
    <t>FORM  R1: REVENUE DETAIL</t>
  </si>
  <si>
    <t>SUPPORTING SCHEDULE REQUIRED: SHOW REVENUE AND RECHARGE CALCULATIONS - FORM R2</t>
  </si>
  <si>
    <t>FORM  R2: REVENUE CALCULATION SCHEDULE</t>
  </si>
  <si>
    <t>Explain</t>
  </si>
  <si>
    <r>
      <t xml:space="preserve">&gt; </t>
    </r>
    <r>
      <rPr>
        <sz val="9"/>
        <rFont val="Calibri"/>
        <family val="2"/>
      </rPr>
      <t>±</t>
    </r>
    <r>
      <rPr>
        <sz val="9"/>
        <rFont val="Arial"/>
        <family val="2"/>
      </rPr>
      <t>10%</t>
    </r>
  </si>
  <si>
    <t>FORM E1: PROFESSIONAL PERSONNEL DETAIL</t>
  </si>
  <si>
    <t>REVENUE BUDGET</t>
  </si>
  <si>
    <t>EXPENSE BUDGET</t>
  </si>
  <si>
    <t>FORM E2: CLASSIFIED PERSONNEL DETAIL</t>
  </si>
  <si>
    <t>FORM E3: OPERATIONS DETAIL</t>
  </si>
  <si>
    <t>FORM E4: TRANSFERS OUT</t>
  </si>
  <si>
    <t>Totals Carried Forward to Summary Form, Line E11:</t>
  </si>
  <si>
    <t>FORM N1-PURPOSE OF ACCOUNT</t>
  </si>
  <si>
    <r>
      <t xml:space="preserve">(3) </t>
    </r>
    <r>
      <rPr>
        <sz val="10"/>
        <rFont val="Arial"/>
        <family val="2"/>
      </rPr>
      <t>Health Insurance $644.81/month.  If health benefits are paid for Grad Students, enter in field provided on Form B1.</t>
    </r>
  </si>
  <si>
    <t>(T1)</t>
  </si>
  <si>
    <t>(T2)</t>
  </si>
  <si>
    <t>(T3)</t>
  </si>
  <si>
    <t>(T4)</t>
  </si>
  <si>
    <t>(T5)</t>
  </si>
  <si>
    <t>(T6)</t>
  </si>
  <si>
    <r>
      <t xml:space="preserve">(4) </t>
    </r>
    <r>
      <rPr>
        <sz val="10"/>
        <rFont val="Arial"/>
        <family val="2"/>
      </rPr>
      <t>Unemployment Insurance Rate Increase from 0.4% to 0.8% effective 07/01/11</t>
    </r>
  </si>
  <si>
    <t>FY13</t>
  </si>
  <si>
    <t>Salary Reduction FY13:</t>
  </si>
  <si>
    <r>
      <t xml:space="preserve">(3) </t>
    </r>
    <r>
      <rPr>
        <sz val="10"/>
        <rFont val="Arial"/>
        <family val="2"/>
      </rPr>
      <t>Health Insurance $733.64/month.  If health benefits are paid for Grad Students, enter in field provided on Form B1.</t>
    </r>
  </si>
  <si>
    <t>REGIA-budgeted at Gov Rec 2.15%.  Actual 2.134</t>
  </si>
  <si>
    <t>FORM N1-EXPLANATION OF SIGNIFICANT CHANGES</t>
  </si>
  <si>
    <t>ACCOUNT TITLE:</t>
  </si>
  <si>
    <t>INCREASE</t>
  </si>
  <si>
    <t>DECREASE</t>
  </si>
  <si>
    <t>OTHER (note in explanation)</t>
  </si>
  <si>
    <t>CHANGES:</t>
  </si>
  <si>
    <t>POSITION-NEW</t>
  </si>
  <si>
    <t>POSITION-ELIMINATED</t>
  </si>
  <si>
    <t>POSITION-TRANSFERRED</t>
  </si>
  <si>
    <t>REVENUE-NEW</t>
  </si>
  <si>
    <t>REVENUE-ELIMINATED</t>
  </si>
  <si>
    <t>EXPENSE-ELIMINATED</t>
  </si>
  <si>
    <t>EXPENSE-NEW</t>
  </si>
  <si>
    <t>Hourly</t>
  </si>
  <si>
    <t>Annual</t>
  </si>
  <si>
    <t>Column B picks up totals from column P</t>
  </si>
  <si>
    <t>Cut</t>
  </si>
  <si>
    <t>Notes FY13:</t>
  </si>
  <si>
    <t>Notes FY12:</t>
  </si>
  <si>
    <t>FY14</t>
  </si>
  <si>
    <t>GA HEALTH INS PREMIUM</t>
  </si>
  <si>
    <r>
      <t xml:space="preserve">(4) </t>
    </r>
    <r>
      <rPr>
        <sz val="10"/>
        <rFont val="Arial"/>
        <family val="2"/>
      </rPr>
      <t>Unemployment Insurance Rate decrease from 0.8% to 0.2% effective 01/01/13</t>
    </r>
  </si>
  <si>
    <t>FY13 - Salary Cut 2.5% applied to Base, Unpaid Leave/Furlough 2.3% (6 days)</t>
  </si>
  <si>
    <t>RETIREMENT POLICE</t>
  </si>
  <si>
    <t>Notes FY14:</t>
  </si>
  <si>
    <t>Salary Reduction FY14:</t>
  </si>
  <si>
    <t>FY12 - Unpaid Leave/Furlough 4.6% (12 days)</t>
  </si>
  <si>
    <r>
      <t xml:space="preserve">(1) </t>
    </r>
    <r>
      <rPr>
        <sz val="10"/>
        <rFont val="Arial"/>
        <family val="2"/>
      </rPr>
      <t>Workers Comp assessed on salary up to $36,000 (Maximum $540)</t>
    </r>
  </si>
  <si>
    <r>
      <t xml:space="preserve">WORKERS COMP </t>
    </r>
    <r>
      <rPr>
        <sz val="8"/>
        <rFont val="Arial"/>
        <family val="2"/>
      </rPr>
      <t>(1)</t>
    </r>
  </si>
  <si>
    <t>STIPENDS ONLY (If Base Salary is charged to a different account):</t>
  </si>
  <si>
    <t>Rank</t>
  </si>
  <si>
    <t>EPC ADJUSTMENT</t>
  </si>
  <si>
    <t>FY14 Base</t>
  </si>
  <si>
    <t>STUDENT
WAGES</t>
  </si>
  <si>
    <t>GRADUATE
SALARIES</t>
  </si>
  <si>
    <t>LOB: Health Benefits - Enter # of months to budget for all LOB Employees, Form E1, Cell AB117</t>
  </si>
  <si>
    <r>
      <t xml:space="preserve">FORM E1: </t>
    </r>
    <r>
      <rPr>
        <sz val="9"/>
        <rFont val="Arial"/>
        <family val="2"/>
      </rPr>
      <t>PROFESSIONAL RATES</t>
    </r>
  </si>
  <si>
    <r>
      <t xml:space="preserve">FORM E2: </t>
    </r>
    <r>
      <rPr>
        <sz val="9"/>
        <rFont val="Arial"/>
        <family val="2"/>
      </rPr>
      <t>CLASSIFIED RATES</t>
    </r>
  </si>
  <si>
    <t>SUMMARY FORM:</t>
  </si>
  <si>
    <t>Formulas are built into the budget forms to calculate fringe per Budgeted Rates:</t>
  </si>
  <si>
    <t>Object -
Sub-Obj</t>
  </si>
  <si>
    <t>EPC ADJUSTMENT POLICE</t>
  </si>
  <si>
    <t>FY11 Fringe Benefit Rates - LEGISLATIVE APPROVED</t>
  </si>
  <si>
    <t>FY13 Fringe Benefit Rates - LEGISLATIVE APPROVED</t>
  </si>
  <si>
    <t>FY15</t>
  </si>
  <si>
    <t>Fringe Furlough Adjustment</t>
  </si>
  <si>
    <r>
      <t xml:space="preserve">REGIA </t>
    </r>
    <r>
      <rPr>
        <sz val="8"/>
        <rFont val="Arial"/>
        <family val="2"/>
      </rPr>
      <t>(4)</t>
    </r>
  </si>
  <si>
    <r>
      <t xml:space="preserve">(3) </t>
    </r>
    <r>
      <rPr>
        <sz val="10"/>
        <rFont val="Arial"/>
        <family val="2"/>
      </rPr>
      <t>Health Insurance $688.33/month.  If health benefits are paid for Grad Students, enter in field provided on Form B1.</t>
    </r>
  </si>
  <si>
    <r>
      <t xml:space="preserve">(4) </t>
    </r>
    <r>
      <rPr>
        <sz val="10"/>
        <rFont val="Arial"/>
        <family val="2"/>
      </rPr>
      <t>REGIA revised 7/10/13 after budgets set, to 2.406%</t>
    </r>
  </si>
  <si>
    <r>
      <t xml:space="preserve">(2) </t>
    </r>
    <r>
      <rPr>
        <sz val="10"/>
        <rFont val="Arial"/>
        <family val="2"/>
      </rPr>
      <t xml:space="preserve">Health Insurance $695.35/month.  </t>
    </r>
  </si>
  <si>
    <t>Notes FY15:</t>
  </si>
  <si>
    <t>FY15 - Unpaid Leave/Furlough 2.3% (6 days)</t>
  </si>
  <si>
    <t>FY14 - Salary Cut 2.5% applied to Base, Unpaid Leave/Furlough 1.15% (3 days)  [changed to 0% salary cut and 2.3% (6 days) furlough after budgets set - summary adjustment to DCT)</t>
  </si>
  <si>
    <t>Department/Division Review and Approval:</t>
  </si>
  <si>
    <t>Budget Office Final Review:</t>
  </si>
  <si>
    <t>FY15 FRINGE BENEFIT RATES - LEGISLATIVE APPROVED</t>
  </si>
  <si>
    <t>default line (do not delete)</t>
  </si>
  <si>
    <t>Schedule</t>
  </si>
  <si>
    <t>EE/ER</t>
  </si>
  <si>
    <t>approved</t>
  </si>
  <si>
    <t>Calculation for Pay Cut (FY12 &amp;  FY13 2.5%)</t>
  </si>
  <si>
    <t>State Schedule not available until July</t>
  </si>
  <si>
    <t>To Calculate New Year Compensation Schedule for Budgeting</t>
  </si>
  <si>
    <t>Update columns M, &amp; N</t>
  </si>
  <si>
    <t xml:space="preserve">Column M: Current Year Hourly Rates </t>
  </si>
  <si>
    <t>Column N: multiply Current Year hourly rate by New Year Approved COLA %.</t>
  </si>
  <si>
    <t>Column O: Current Year Hourly Rate Calculation - validate to State Classified Compensation Schedule when available</t>
  </si>
  <si>
    <t>Per State</t>
  </si>
  <si>
    <t>Adj For</t>
  </si>
  <si>
    <t>Instructions:</t>
  </si>
  <si>
    <t>FY15 Cut</t>
  </si>
  <si>
    <t>Adjusted DCT by object code for FY14</t>
  </si>
  <si>
    <t>FY15 - Cell R9 = 0%</t>
  </si>
  <si>
    <t>Cut eliminated FY14 after budgets finalized</t>
  </si>
  <si>
    <t>MERIT</t>
  </si>
  <si>
    <t>(16)</t>
  </si>
  <si>
    <t>FY16</t>
  </si>
  <si>
    <t>PREP</t>
  </si>
  <si>
    <t>ONNN</t>
  </si>
  <si>
    <t>Foundation Account Balance</t>
  </si>
  <si>
    <t>Foundation Account Number</t>
  </si>
  <si>
    <t>Notes</t>
  </si>
  <si>
    <t>Include a Schedule to support the calculation for each Revenue Source and Recharge amount budgeted on Form R1:</t>
  </si>
  <si>
    <t>FY14 Fringe Benefit Rates - LEGISLATIVE APPROVED</t>
  </si>
  <si>
    <r>
      <t xml:space="preserve">SUMMARY: </t>
    </r>
    <r>
      <rPr>
        <sz val="9"/>
        <rFont val="Arial"/>
        <family val="2"/>
      </rPr>
      <t>GRAD &amp; WAGES</t>
    </r>
  </si>
  <si>
    <t>Notes FY16:</t>
  </si>
  <si>
    <r>
      <t xml:space="preserve">HEALTH PREMIUM ANNUAL </t>
    </r>
    <r>
      <rPr>
        <sz val="8"/>
        <rFont val="Arial"/>
        <family val="2"/>
      </rPr>
      <t>(2)</t>
    </r>
  </si>
  <si>
    <t>Up to $1,000/Yr</t>
  </si>
  <si>
    <t>FICA Alternative.  (Assessed on salary up to $106,800) NOT BUDGETED</t>
  </si>
  <si>
    <r>
      <t xml:space="preserve">REGIA </t>
    </r>
    <r>
      <rPr>
        <sz val="8"/>
        <rFont val="Arial"/>
        <family val="2"/>
      </rPr>
      <t>(3)</t>
    </r>
  </si>
  <si>
    <r>
      <t xml:space="preserve">(3) </t>
    </r>
    <r>
      <rPr>
        <sz val="10"/>
        <rFont val="Arial"/>
        <family val="2"/>
      </rPr>
      <t>REGIA rate 2.7% per Governor's Recommended.  Updated to 2.66% per NSHE, after budgets calculated</t>
    </r>
  </si>
  <si>
    <t>Grad Student Health Benefits: If paid by Dept. (Up to $1,000/Yr), enter Total Amount for All Emplolyees on Summary Form, Cell N35</t>
  </si>
  <si>
    <t>Furlough Fringe Adjustment</t>
  </si>
  <si>
    <t>Salary Reduction FY15:</t>
  </si>
  <si>
    <t>ITEM</t>
  </si>
  <si>
    <t>N1</t>
  </si>
  <si>
    <t>Purpose of Account</t>
  </si>
  <si>
    <t>N2</t>
  </si>
  <si>
    <t>R2</t>
  </si>
  <si>
    <t>Revenue Schedules</t>
  </si>
  <si>
    <t>Revenue Summary</t>
  </si>
  <si>
    <t>Supporting Schedule to show calculation for Each Amount on R1</t>
  </si>
  <si>
    <t>Note of any program guidelines or restrictions on use of funds</t>
  </si>
  <si>
    <r>
      <t>Explanation for material changes (</t>
    </r>
    <r>
      <rPr>
        <sz val="10"/>
        <rFont val="Calibri"/>
        <family val="2"/>
      </rPr>
      <t>±</t>
    </r>
    <r>
      <rPr>
        <sz val="10"/>
        <rFont val="Arial"/>
        <family val="2"/>
      </rPr>
      <t xml:space="preserve"> 10%) from current year</t>
    </r>
  </si>
  <si>
    <t>Program changes that will impact budget</t>
  </si>
  <si>
    <t>Rate changes, including fees or recharge rates</t>
  </si>
  <si>
    <t>Account conversions or Title Changes</t>
  </si>
  <si>
    <t>New Revenue or Expense categories or Positions</t>
  </si>
  <si>
    <t>Eliminated Revenue or Expense categories or Positions</t>
  </si>
  <si>
    <t>Proposed change of Use of Account</t>
  </si>
  <si>
    <t>Summary</t>
  </si>
  <si>
    <t>Prior Year Actual Amounts</t>
  </si>
  <si>
    <t>Account Information</t>
  </si>
  <si>
    <t>Current Year Projected Actual</t>
  </si>
  <si>
    <t>Roll Forward totals from Revenue and Expense Schedules</t>
  </si>
  <si>
    <t>Budget Year</t>
  </si>
  <si>
    <t>Budgeted Expenditures per Direct Entry and Supporting Schedules, E1, E2, E3, E4</t>
  </si>
  <si>
    <t>Professional Positions</t>
  </si>
  <si>
    <t>Section for any Leave Payout for Current Year</t>
  </si>
  <si>
    <t>Classified Positions</t>
  </si>
  <si>
    <t>Overtime Duties:</t>
  </si>
  <si>
    <t>Section for Overtime and Overtime Duties</t>
  </si>
  <si>
    <t>Operations</t>
  </si>
  <si>
    <t>Voluntary Transfers Out</t>
  </si>
  <si>
    <t>Include Transfer to Account Number and Purpose/Use of Transferred Funds</t>
  </si>
  <si>
    <t>Pending Transfers In for Remainder of Current Year and Budget Year Confirmed on Transfer Out Account</t>
  </si>
  <si>
    <t>Overview of Program/Activities, Funding Sources</t>
  </si>
  <si>
    <t>Project Year to Date Activity (including any credits pending) in Column G</t>
  </si>
  <si>
    <t>Account Identification, Per Financial Records</t>
  </si>
  <si>
    <t>Budgeted Revenue per Form R1, as Calculated on Form R2</t>
  </si>
  <si>
    <t>Budgeted Ending Balance must be Positive (Expenditures cannot exceed Revenue)</t>
  </si>
  <si>
    <t>Projected Amounts for Remainder of Current Year, per Calculations on Form R2</t>
  </si>
  <si>
    <t>Budget Year Annual Totals for each Revenue Source, per Calculations on Form R2</t>
  </si>
  <si>
    <t>Foundation Account Information for Gift Revenue</t>
  </si>
  <si>
    <t>VT-Transfer In Account Numbers and Source/Purpose of Transfer</t>
  </si>
  <si>
    <t>Related Notes, Including Assumptions Used</t>
  </si>
  <si>
    <t>Section for Stipends Paid when Base Paid from a Different Account, and Stipend Duties</t>
  </si>
  <si>
    <t>Enter Total Salary Savings as Negative Amounts for Salary and Fringe</t>
  </si>
  <si>
    <t>Tracking Section to Account for Part Time or Split FTE and any Position Moves Into or Out of the Account</t>
  </si>
  <si>
    <t>Include any Explanatory Notes on Form N2</t>
  </si>
  <si>
    <t>BUDGET ACTION</t>
  </si>
  <si>
    <t>BUDGET OFFICE REVIEW:</t>
  </si>
  <si>
    <t>DEPARTMENT ACTION</t>
  </si>
  <si>
    <t>Budgeted Beginning Cash Balance (Calculation based on Current Year Projected Actual Amounts)</t>
  </si>
  <si>
    <t>NOTES</t>
  </si>
  <si>
    <t>7. ACCOUNT NAME</t>
  </si>
  <si>
    <r>
      <t xml:space="preserve">FICA </t>
    </r>
    <r>
      <rPr>
        <sz val="8"/>
        <rFont val="Arial"/>
        <family val="2"/>
      </rPr>
      <t>(3)</t>
    </r>
  </si>
  <si>
    <t>Furlough eliminated FY16</t>
  </si>
  <si>
    <r>
      <t xml:space="preserve">(3)  </t>
    </r>
    <r>
      <rPr>
        <sz val="10"/>
        <rFont val="Arial"/>
        <family val="2"/>
      </rPr>
      <t>FICA Alternative.  (Assessed on salary up to $106,800) NOT BUDGETED</t>
    </r>
  </si>
  <si>
    <t>note (2.b)</t>
  </si>
  <si>
    <t>a. LOB: Health Benefits - Enter # of months to budget for all LOB Employees, Form E1, Cell AB117</t>
  </si>
  <si>
    <t>b. Grad Student Health Benefits: If paid by Dept. (Up to $1,000/Yr), enter Total Amount for All Emplolyees on Summary Form, Cell N35</t>
  </si>
  <si>
    <r>
      <t>REQUIREMENT</t>
    </r>
    <r>
      <rPr>
        <sz val="9"/>
        <rFont val="Arial"/>
        <family val="2"/>
      </rPr>
      <t xml:space="preserve"> (Refer to Instructions Section on Budget Office website for more direction)</t>
    </r>
  </si>
  <si>
    <t>Step Increase/Merit</t>
  </si>
  <si>
    <t>Date of</t>
  </si>
  <si>
    <t>Record</t>
  </si>
  <si>
    <t>Prorated</t>
  </si>
  <si>
    <t xml:space="preserve"> Column 4b: </t>
  </si>
  <si>
    <t xml:space="preserve">Column 4a: </t>
  </si>
  <si>
    <t>Enter Current Step</t>
  </si>
  <si>
    <t>Enter Next Step</t>
  </si>
  <si>
    <t>Date of Record</t>
  </si>
  <si>
    <t>Column 13:</t>
  </si>
  <si>
    <t>Merit on</t>
  </si>
  <si>
    <t>Spec Pay</t>
  </si>
  <si>
    <t>Base Mr</t>
  </si>
  <si>
    <t>Tranfers Out are only allowable on unrestricted accounts and unrestricted revenue sources</t>
  </si>
  <si>
    <t>Restricted Revenue Sources:  Special Course Fees, Student Tuition and Fees *</t>
  </si>
  <si>
    <t>* Transfers are allowable for student fee revenue where approved for programmatic actvities per the fee proposal 
(e.g.:  hosting for graduation ceremonies)</t>
  </si>
  <si>
    <t>Other earmarked funds may have restrictions that disallow transfers out</t>
  </si>
  <si>
    <t>No Unallowable Transfers</t>
  </si>
  <si>
    <t>Recharge accounts:  Restricted Reserves balance per rate review.</t>
  </si>
  <si>
    <t>MID -YEAR CHANGES</t>
  </si>
  <si>
    <t>BUDGET OFFICE UPDATES</t>
  </si>
  <si>
    <t>11</t>
  </si>
  <si>
    <t>PN</t>
  </si>
  <si>
    <t>12</t>
  </si>
  <si>
    <t>13</t>
  </si>
  <si>
    <t>14</t>
  </si>
  <si>
    <t>15</t>
  </si>
  <si>
    <r>
      <t xml:space="preserve">DETAILS: </t>
    </r>
    <r>
      <rPr>
        <sz val="10"/>
        <color rgb="FF0000FF"/>
        <rFont val="Arial"/>
        <family val="2"/>
      </rPr>
      <t>(1)</t>
    </r>
  </si>
  <si>
    <t>(1) Self Supporting accounts are established for a specific purpose.  Contact the Budget Office before posting any unrelated activity to determine if the activity is appropriate for this account.</t>
  </si>
  <si>
    <t>FY17</t>
  </si>
  <si>
    <t>FY16 FRINGE BENEFIT RATES - LEGISLATIVE APPROVED</t>
  </si>
  <si>
    <t>FY17 FRINGE BENEFIT RATES - LEGISLATIVE APPROVED</t>
  </si>
  <si>
    <r>
      <t xml:space="preserve">(2) </t>
    </r>
    <r>
      <rPr>
        <sz val="10"/>
        <rFont val="Arial"/>
        <family val="2"/>
      </rPr>
      <t xml:space="preserve">Health Insurance $701.73/month.  </t>
    </r>
  </si>
  <si>
    <r>
      <t xml:space="preserve">(2) </t>
    </r>
    <r>
      <rPr>
        <sz val="10"/>
        <rFont val="Arial"/>
        <family val="2"/>
      </rPr>
      <t xml:space="preserve">Health Insurance $699.25/month.  </t>
    </r>
  </si>
  <si>
    <t>MEDICAL</t>
  </si>
  <si>
    <t>Administrative Overhead is a 3.5% assessment on revenue entered on Form R1, excluding VT IN, Recharge, and Gift Revenue</t>
  </si>
  <si>
    <t>AMOUNT</t>
  </si>
  <si>
    <t>- Required for Material Changes (± 10%) From Current Year</t>
  </si>
  <si>
    <t>Job Class Code</t>
  </si>
  <si>
    <t>Anticipated Fill Date</t>
  </si>
  <si>
    <t xml:space="preserve">PERSONNEL / POSITION TRACKING </t>
  </si>
  <si>
    <t>(T7)</t>
  </si>
  <si>
    <t>Complete for New Positions</t>
  </si>
  <si>
    <t>Notes FY17:</t>
  </si>
  <si>
    <t>POSITION / EMPLOYEE DETAILS</t>
  </si>
  <si>
    <t>NEW POSITION</t>
  </si>
  <si>
    <t>POSITION BUDGET CHANGE</t>
  </si>
  <si>
    <t>Supervisor Name</t>
  </si>
  <si>
    <t>TRANSACTION #</t>
  </si>
  <si>
    <t>ANALYST</t>
  </si>
  <si>
    <r>
      <t xml:space="preserve">Letter of Appointments </t>
    </r>
    <r>
      <rPr>
        <sz val="12"/>
        <rFont val="Arial"/>
        <family val="2"/>
      </rPr>
      <t xml:space="preserve">≥ </t>
    </r>
    <r>
      <rPr>
        <sz val="8"/>
        <rFont val="Arial"/>
        <family val="2"/>
      </rPr>
      <t>50% are benefits eligible and health insurance should be budgeted</t>
    </r>
  </si>
  <si>
    <t>DEPT APPROVAL</t>
  </si>
  <si>
    <t>DOC #</t>
  </si>
  <si>
    <t>OTHER (See Note)</t>
  </si>
  <si>
    <t>Submitted by:</t>
  </si>
  <si>
    <t>Submitted Date:</t>
  </si>
  <si>
    <t>FY18</t>
  </si>
  <si>
    <t>Notes FY18:</t>
  </si>
  <si>
    <t>Document:</t>
  </si>
  <si>
    <t>5% Spec Pay</t>
  </si>
  <si>
    <t>5% Special Pay</t>
  </si>
  <si>
    <t>Base Mer</t>
  </si>
  <si>
    <t>THIS NOTE CAN BE DELETED BEFORE SUBMITTING THE BUDGET:</t>
  </si>
  <si>
    <t>Official Documents for Account Approved Uses</t>
  </si>
  <si>
    <t>Directions</t>
  </si>
  <si>
    <t>Description of Document</t>
  </si>
  <si>
    <t>Attachment</t>
  </si>
  <si>
    <t>Budget Office Use Only:</t>
  </si>
  <si>
    <r>
      <t xml:space="preserve"> ENDING BALANCE/RESERVES</t>
    </r>
    <r>
      <rPr>
        <sz val="8"/>
        <rFont val="Arial"/>
        <family val="2"/>
      </rPr>
      <t xml:space="preserve"> (</t>
    </r>
    <r>
      <rPr>
        <u val="singleAccounting"/>
        <sz val="8"/>
        <color indexed="12"/>
        <rFont val="Arial"/>
        <family val="2"/>
      </rPr>
      <t>Must be Positive</t>
    </r>
    <r>
      <rPr>
        <sz val="8"/>
        <color indexed="12"/>
        <rFont val="Arial"/>
        <family val="2"/>
      </rPr>
      <t>)</t>
    </r>
  </si>
  <si>
    <r>
      <t xml:space="preserve">HOSTING </t>
    </r>
    <r>
      <rPr>
        <sz val="8"/>
        <color rgb="FF0000FF"/>
        <rFont val="Arial"/>
        <family val="2"/>
      </rPr>
      <t>(Approved accounts only)</t>
    </r>
  </si>
  <si>
    <r>
      <t xml:space="preserve">(2) </t>
    </r>
    <r>
      <rPr>
        <sz val="10"/>
        <rFont val="Arial"/>
        <family val="2"/>
      </rPr>
      <t xml:space="preserve">Health Insurance $743.00/month.  </t>
    </r>
  </si>
  <si>
    <t>New Hire</t>
  </si>
  <si>
    <t>Student Tuition and Fees</t>
  </si>
  <si>
    <t>Sales and Service</t>
  </si>
  <si>
    <t>Facilities &amp; Administration Revenue</t>
  </si>
  <si>
    <t>Investment/Endowment Income</t>
  </si>
  <si>
    <t>Other Revenue</t>
  </si>
  <si>
    <t>Proceeds from Bonds and Notes</t>
  </si>
  <si>
    <r>
      <t>Sales and Service Recharge</t>
    </r>
    <r>
      <rPr>
        <sz val="9"/>
        <color indexed="12"/>
        <rFont val="Arial"/>
        <family val="2"/>
      </rPr>
      <t xml:space="preserve"> (Negative Amount)</t>
    </r>
  </si>
  <si>
    <t>FY19</t>
  </si>
  <si>
    <r>
      <t>Transfers In</t>
    </r>
    <r>
      <rPr>
        <sz val="9"/>
        <color indexed="12"/>
        <rFont val="Arial"/>
        <family val="2"/>
      </rPr>
      <t xml:space="preserve"> (Account Number Required)</t>
    </r>
  </si>
  <si>
    <t>General Operations</t>
  </si>
  <si>
    <t>Purchased Services</t>
  </si>
  <si>
    <t>Supplies</t>
  </si>
  <si>
    <t>Maintenance and Repair</t>
  </si>
  <si>
    <t>Lease and Rental - Equipment and Other</t>
  </si>
  <si>
    <t>Lease and Rental - Building or Facility (Off-Site)</t>
  </si>
  <si>
    <t>Equipment/Furnishings</t>
  </si>
  <si>
    <t>Building, Land, and Other</t>
  </si>
  <si>
    <t>Intangible Purchases</t>
  </si>
  <si>
    <t>Shipping and Mailing</t>
  </si>
  <si>
    <t>Food and Beverage</t>
  </si>
  <si>
    <t>Printed and Reference Materials</t>
  </si>
  <si>
    <t>Promotion and Marketing Services</t>
  </si>
  <si>
    <t>Licenses and Permits</t>
  </si>
  <si>
    <t>Insurance and Claims</t>
  </si>
  <si>
    <t>Library Acquisitions</t>
  </si>
  <si>
    <t>Other Operating Expense</t>
  </si>
  <si>
    <t>Utilities - Electric Utilities</t>
  </si>
  <si>
    <t>Utilities - Oil Utilities</t>
  </si>
  <si>
    <t>Utilities - Natural Gas Utilities</t>
  </si>
  <si>
    <t>Utilities - Trash</t>
  </si>
  <si>
    <t>Utilities - Water</t>
  </si>
  <si>
    <t>Utilities - Sewage</t>
  </si>
  <si>
    <t>Utilities - Other</t>
  </si>
  <si>
    <t>CLASSIFIED &amp; TECH SALARIES</t>
  </si>
  <si>
    <t>HOURLY WAGES</t>
  </si>
  <si>
    <t>TRAVEL</t>
  </si>
  <si>
    <t>GENERAL OPERATIONS</t>
  </si>
  <si>
    <t>SALES &amp; SERVICE RECHARGE</t>
  </si>
  <si>
    <t>FINANCIAL AID</t>
  </si>
  <si>
    <t>CC</t>
  </si>
  <si>
    <t>Worktag</t>
  </si>
  <si>
    <t>2. AREA</t>
  </si>
  <si>
    <t>ADMIN OH - COURSE FEE/SCHOLARSHIP APPROVED EXEMPTION:</t>
  </si>
  <si>
    <t>If "Y" attach exemption details on Form N2</t>
  </si>
  <si>
    <t>FY18 FRINGE BENEFIT RATES - LEGISLATIVE APPROVED</t>
  </si>
  <si>
    <t>Unit</t>
  </si>
  <si>
    <t>Cost Center</t>
  </si>
  <si>
    <t>Function</t>
  </si>
  <si>
    <t>Program</t>
  </si>
  <si>
    <t>Project</t>
  </si>
  <si>
    <t>Gift</t>
  </si>
  <si>
    <t>Grant</t>
  </si>
  <si>
    <t>Activity</t>
  </si>
  <si>
    <t>Fund_ID</t>
  </si>
  <si>
    <t>Program_ID</t>
  </si>
  <si>
    <t>Project_ID</t>
  </si>
  <si>
    <t>Grant_ID</t>
  </si>
  <si>
    <t>Account Set</t>
  </si>
  <si>
    <t>Budget Debit Amount</t>
  </si>
  <si>
    <t>Budget Credit Amount</t>
  </si>
  <si>
    <t>Memo</t>
  </si>
  <si>
    <t>Budget Lines Data</t>
  </si>
  <si>
    <t>Area</t>
  </si>
  <si>
    <t>All</t>
  </si>
  <si>
    <t>Restrictions</t>
  </si>
  <si>
    <t>Required</t>
  </si>
  <si>
    <t>Optional</t>
  </si>
  <si>
    <t>Format</t>
  </si>
  <si>
    <t>Text</t>
  </si>
  <si>
    <t>Company_Reference_ID</t>
  </si>
  <si>
    <t>Ledger_Account_ID</t>
  </si>
  <si>
    <t>Account_Set_ID</t>
  </si>
  <si>
    <t>Number (26,6)</t>
  </si>
  <si>
    <t>Custom_Organization_Reference_ID</t>
  </si>
  <si>
    <t>Cost_Center_Reference_ID</t>
  </si>
  <si>
    <t>Gift_Reference_ID</t>
  </si>
  <si>
    <t>Fields</t>
  </si>
  <si>
    <t>Header Key</t>
  </si>
  <si>
    <t>Line Key</t>
  </si>
  <si>
    <t>Company*</t>
  </si>
  <si>
    <t>Year</t>
  </si>
  <si>
    <t>Ledger Account or Ledger Account Summary</t>
  </si>
  <si>
    <t>CO_UNLV</t>
  </si>
  <si>
    <t>CHILD</t>
  </si>
  <si>
    <t>UNLV01</t>
  </si>
  <si>
    <t>5000</t>
  </si>
  <si>
    <t>5400</t>
  </si>
  <si>
    <t>5500</t>
  </si>
  <si>
    <t>5700</t>
  </si>
  <si>
    <t>6300</t>
  </si>
  <si>
    <t>6200</t>
  </si>
  <si>
    <t>6000</t>
  </si>
  <si>
    <t>8100</t>
  </si>
  <si>
    <t>8104</t>
  </si>
  <si>
    <t>7900</t>
  </si>
  <si>
    <t>6500</t>
  </si>
  <si>
    <t>Ledger</t>
  </si>
  <si>
    <t>DEBIT</t>
  </si>
  <si>
    <t>LEDGER</t>
  </si>
  <si>
    <t>CREDIT</t>
  </si>
  <si>
    <t>PG08052: Administrative Overhead</t>
  </si>
  <si>
    <t>Admin Data Validation rows</t>
  </si>
  <si>
    <t>Administrative Overhead
Please see notes below.</t>
  </si>
  <si>
    <t>For Debt Service</t>
  </si>
  <si>
    <t>3. UNIT</t>
  </si>
  <si>
    <t>UNLV03</t>
  </si>
  <si>
    <t>UNLV05</t>
  </si>
  <si>
    <t>UNLV06</t>
  </si>
  <si>
    <t>UNLV07</t>
  </si>
  <si>
    <t>UNLV08</t>
  </si>
  <si>
    <t>UNLV09</t>
  </si>
  <si>
    <t>UNLV10</t>
  </si>
  <si>
    <t>UNLV12</t>
  </si>
  <si>
    <t>UNLV13</t>
  </si>
  <si>
    <t>UNLV14</t>
  </si>
  <si>
    <t>UNLV16</t>
  </si>
  <si>
    <t>UNLV18</t>
  </si>
  <si>
    <t>UNLV19</t>
  </si>
  <si>
    <t>UNLV20</t>
  </si>
  <si>
    <t>UNLV21</t>
  </si>
  <si>
    <t>UNLV22</t>
  </si>
  <si>
    <t>UNLV23</t>
  </si>
  <si>
    <t>UNLV24</t>
  </si>
  <si>
    <t>UNLV25</t>
  </si>
  <si>
    <t>UNLV27</t>
  </si>
  <si>
    <t>UNLV28</t>
  </si>
  <si>
    <t>UNLV29</t>
  </si>
  <si>
    <t>UNLV32</t>
  </si>
  <si>
    <t>UNLV33</t>
  </si>
  <si>
    <t>UNLV34</t>
  </si>
  <si>
    <t>UNLV35</t>
  </si>
  <si>
    <t>UNLV37</t>
  </si>
  <si>
    <t>UNLV38</t>
  </si>
  <si>
    <t>UNLV39</t>
  </si>
  <si>
    <t>UNLV40</t>
  </si>
  <si>
    <t>UNLV41</t>
  </si>
  <si>
    <t>UNLV42</t>
  </si>
  <si>
    <t>UNLV43</t>
  </si>
  <si>
    <t>UNLV44</t>
  </si>
  <si>
    <t>UNLV46</t>
  </si>
  <si>
    <t>UNLV47</t>
  </si>
  <si>
    <t>UNLV49</t>
  </si>
  <si>
    <t>R1 Date</t>
  </si>
  <si>
    <t>Bilingual</t>
  </si>
  <si>
    <t>Shift Diff</t>
  </si>
  <si>
    <t>Both</t>
  </si>
  <si>
    <t>Overtime</t>
  </si>
  <si>
    <t>Leave Buyout</t>
  </si>
  <si>
    <t>Salary Savings Reassignments</t>
  </si>
  <si>
    <t>ATTACHMENT</t>
  </si>
  <si>
    <t>EIB</t>
  </si>
  <si>
    <t>FN10-Instruction</t>
  </si>
  <si>
    <t>FN20-Research</t>
  </si>
  <si>
    <t>FN30-Public Service</t>
  </si>
  <si>
    <t>FN40-Academic Support</t>
  </si>
  <si>
    <t>FN50-Student Services</t>
  </si>
  <si>
    <t>FN60-Institutional Support</t>
  </si>
  <si>
    <t>FN70-Operations &amp; Maint</t>
  </si>
  <si>
    <t>FN80-Scholarships</t>
  </si>
  <si>
    <t>FN90-Auxiliary Enterprises</t>
  </si>
  <si>
    <t>Agency</t>
  </si>
  <si>
    <t>Orgn</t>
  </si>
  <si>
    <t>Gifts (Restricted and Unrestricted)</t>
  </si>
  <si>
    <t>Insert document, i.e. Board Documents for Course/Special Fee accounts and Overhead Administrative Fee exemption.
Provide description of document.</t>
  </si>
  <si>
    <t>Attachment
&lt;How to-Go to Insert / Object /
Create from File / Display as Icon&gt;</t>
  </si>
  <si>
    <t>Spend Category</t>
  </si>
  <si>
    <t>- Optional for Additional Notes/Explanations</t>
  </si>
  <si>
    <t>Totals Carried Forward to Summary Form, Line E12:</t>
  </si>
  <si>
    <t>The Admin Overhead expense posts to 8120:Transfers Out - Administrative Overhead Assessment at the beginning of each quarter.</t>
  </si>
  <si>
    <t>This assessment expense is calculated on Line 20:  Do not manually enter amounts for this cost above.</t>
  </si>
  <si>
    <t>Accounts with approved exemptions for Special Course Fee and Scholarship Revenue: enter "Y" in Cells D58:E58</t>
  </si>
  <si>
    <t>NEW</t>
  </si>
  <si>
    <t>E2 NEW</t>
  </si>
  <si>
    <t>E1 NEW</t>
  </si>
  <si>
    <t>TOTAL NEW POSITION REQUEST EXPENSE</t>
  </si>
  <si>
    <t>BUDGETED BALANCE FORWARD - 4900</t>
  </si>
  <si>
    <t>Notes FY19:</t>
  </si>
  <si>
    <t>FORM E2 New PN: CLASSIFIED PERSONNEL DETAIL</t>
  </si>
  <si>
    <t>FORM E1 New PN: PROFESSIONAL PERSONNEL DETAIL</t>
  </si>
  <si>
    <t>6a. WORKDAY ACCOUNT</t>
  </si>
  <si>
    <t>6b. LEGACY ACCOUNT</t>
  </si>
  <si>
    <t>Please note these new PNs are not included in the above account budget.</t>
  </si>
  <si>
    <t>FORM E1 Grant Bridge - Professional</t>
  </si>
  <si>
    <t>C/F to Form E1: Temporary Grant Bridge Funding Row 120</t>
  </si>
  <si>
    <t>Temporary funding for Grant positions. Budget salary and fringe when a Self Supporting account will temporarily fund a Grant position.  Typically when new Grant funding has not been received and existing Grant funding has expired.  Expenses generally reassigned to Grant accounts once it is received.  Do not budget positions with FTE on Self Supporting accounts on this form, use Form E1.</t>
  </si>
  <si>
    <t>Temporary Grant Bridge Funding</t>
  </si>
  <si>
    <t>C/F to Form E2: Temporary Grant Bridge Funding Row 113</t>
  </si>
  <si>
    <t>Temporary funding for Grant positions. Budget salary and fringe when a Self Supporting account will temporarily fund a Grant position.  Typically when new Grant funding has not been received and existing Grant funding has expired.  Expenses generally reassigned to Grant accounts once it is received.  Do not budget positions with FTE on Self Supporting accounts on this form, use Form E2.</t>
  </si>
  <si>
    <t>FORM E2 Grant Bridge - Classified</t>
  </si>
  <si>
    <t>Misc Adjustments</t>
  </si>
  <si>
    <t xml:space="preserve"> Column 13: </t>
  </si>
  <si>
    <t>CLASSIFIED AND TECH SALARIES</t>
  </si>
  <si>
    <t>See next worksheet, "Class Rates"</t>
  </si>
  <si>
    <t>Error Check</t>
  </si>
  <si>
    <t>(System Administration)</t>
  </si>
  <si>
    <t>(V.P., Dean or Director)</t>
  </si>
  <si>
    <t>Reviewed By:</t>
  </si>
  <si>
    <t xml:space="preserve">(President or Designee) </t>
  </si>
  <si>
    <t>Approved By:</t>
  </si>
  <si>
    <t>Recommended By:</t>
  </si>
  <si>
    <t>(Authorized Signature)</t>
  </si>
  <si>
    <t>(Budget Analyst)</t>
  </si>
  <si>
    <t>Transaction Number:</t>
  </si>
  <si>
    <t>Initiated By:</t>
  </si>
  <si>
    <r>
      <t xml:space="preserve">REASON FOR REQUEST: </t>
    </r>
    <r>
      <rPr>
        <sz val="10"/>
        <color indexed="12"/>
        <rFont val="Arial"/>
        <family val="2"/>
      </rPr>
      <t>(Source of funding &amp; Use of funding)</t>
    </r>
  </si>
  <si>
    <t>VARIANCE (MUST EQUAL ZERO):</t>
  </si>
  <si>
    <t>TOTAL USE OF FUNDS</t>
  </si>
  <si>
    <t>Ending Account Balance</t>
  </si>
  <si>
    <t xml:space="preserve">Voluntary Transfer Out </t>
  </si>
  <si>
    <t>Financial Aid</t>
  </si>
  <si>
    <t>Recharge</t>
  </si>
  <si>
    <t>Travel</t>
  </si>
  <si>
    <t>Operating</t>
  </si>
  <si>
    <t>Fringe Benefits</t>
  </si>
  <si>
    <t>Wages</t>
  </si>
  <si>
    <t xml:space="preserve">Classified </t>
  </si>
  <si>
    <t>Graduate Assistant</t>
  </si>
  <si>
    <t>Professional Salaries</t>
  </si>
  <si>
    <t>EXP OBJ</t>
  </si>
  <si>
    <t>EXPENDITURES</t>
  </si>
  <si>
    <t>TOTAL SOURCE OF FUNDS</t>
  </si>
  <si>
    <t>Gifts</t>
  </si>
  <si>
    <t>4900</t>
  </si>
  <si>
    <t>Balance Forward</t>
  </si>
  <si>
    <t>Requested</t>
  </si>
  <si>
    <t xml:space="preserve"> </t>
  </si>
  <si>
    <t>Approved</t>
  </si>
  <si>
    <t>REV SRC</t>
  </si>
  <si>
    <t>Revised</t>
  </si>
  <si>
    <t>Revision</t>
  </si>
  <si>
    <t>Board</t>
  </si>
  <si>
    <t>ACCOUNT NAME</t>
  </si>
  <si>
    <t>ACCOUNT MANAGER</t>
  </si>
  <si>
    <t>DEPARTMENT</t>
  </si>
  <si>
    <t>WORKTAG</t>
  </si>
  <si>
    <t>COST CENTER</t>
  </si>
  <si>
    <t>FUNCTION</t>
  </si>
  <si>
    <t>FUND</t>
  </si>
  <si>
    <t>UNIT</t>
  </si>
  <si>
    <t>FY</t>
  </si>
  <si>
    <t>REVISED:</t>
  </si>
  <si>
    <t>NEW:</t>
  </si>
  <si>
    <t xml:space="preserve">SELF SUPPORTING BUDGET FORM </t>
  </si>
  <si>
    <t>FORMS MUST BE SUMITTED TO THE BUDGET OFFICE IN EXCEL FORMAT</t>
  </si>
  <si>
    <t>X</t>
  </si>
  <si>
    <t>FY20</t>
  </si>
  <si>
    <t>FORM E1: PROFESSIONAL RATES</t>
  </si>
  <si>
    <t>FORM E2: CLASSIFIED RATES</t>
  </si>
  <si>
    <t>FICA (3)</t>
  </si>
  <si>
    <t>WORKERS COMP (1)</t>
  </si>
  <si>
    <t>HEALTH PREMIUM ANNUAL (2)</t>
  </si>
  <si>
    <t>(1) Workers Comp assessed on salary up to $36,000 (Maximum $540)</t>
  </si>
  <si>
    <t xml:space="preserve">(2) Health Insurance $743.00/month.  </t>
  </si>
  <si>
    <t>(3)  FICA Alternative.  (Assessed on salary up to $106,800) NOT BUDGETED</t>
  </si>
  <si>
    <t>Current Fiscal Year Budgeted Revenue</t>
  </si>
  <si>
    <t>Last Fiscal Year Projected Revenue</t>
  </si>
  <si>
    <t>Schedule Examples can be found on the Budget Office website</t>
  </si>
  <si>
    <t>(2) Attach supporting documentation in Approved Use section of Form N2: BOR Proposal for Student Fee Accounts, etc.</t>
  </si>
  <si>
    <t>Is Reserves positive?</t>
  </si>
  <si>
    <t>Does Revenue = Expense?</t>
  </si>
  <si>
    <t>Error Checks</t>
  </si>
  <si>
    <t>Is EIB rounded to pennies?</t>
  </si>
  <si>
    <t>16</t>
  </si>
  <si>
    <t>17</t>
  </si>
  <si>
    <t>Student</t>
  </si>
  <si>
    <t>Sales</t>
  </si>
  <si>
    <t>Indirect</t>
  </si>
  <si>
    <t>Investment</t>
  </si>
  <si>
    <t>Misc</t>
  </si>
  <si>
    <t>Proceeds</t>
  </si>
  <si>
    <t>Opening</t>
  </si>
  <si>
    <t>In_Transfer</t>
  </si>
  <si>
    <t>FTE_Prof</t>
  </si>
  <si>
    <t>Professional</t>
  </si>
  <si>
    <t>Graduate</t>
  </si>
  <si>
    <t>FTE_Clas</t>
  </si>
  <si>
    <t>Classified</t>
  </si>
  <si>
    <t>Hosting</t>
  </si>
  <si>
    <t>NON-RETIREMENT EARNINGS</t>
  </si>
  <si>
    <t>PROFESSIONAL</t>
  </si>
  <si>
    <t>CLASSIFIED</t>
  </si>
  <si>
    <t>POOL</t>
  </si>
  <si>
    <t xml:space="preserve">FRINGE </t>
  </si>
  <si>
    <t>List Out VT-Out Worktag and provide Details on Transfer:</t>
  </si>
  <si>
    <t>Letter of Appointment (LOA)
(includes LOBs)</t>
  </si>
  <si>
    <t>Temporary Grant Bridge Funding-Professional</t>
  </si>
  <si>
    <t>Rev</t>
  </si>
  <si>
    <t>Exp</t>
  </si>
  <si>
    <t>Check</t>
  </si>
  <si>
    <t>Type of Change</t>
  </si>
  <si>
    <t>By: Name
(no initials)</t>
  </si>
  <si>
    <t>Out_Transfer_MT</t>
  </si>
  <si>
    <t>Out_Transfer_VT</t>
  </si>
  <si>
    <t>FROM:
 Account Ledger</t>
  </si>
  <si>
    <t>TO: 
Account Ledger</t>
  </si>
  <si>
    <t>BUDGET AMENDMENT</t>
  </si>
  <si>
    <t>BUDGET REVISION</t>
  </si>
  <si>
    <r>
      <t xml:space="preserve">Per Workday Report </t>
    </r>
    <r>
      <rPr>
        <b/>
        <sz val="9"/>
        <color indexed="12"/>
        <rFont val="Arial"/>
        <family val="2"/>
      </rPr>
      <t>Period</t>
    </r>
    <r>
      <rPr>
        <sz val="9"/>
        <color indexed="12"/>
        <rFont val="Arial"/>
        <family val="2"/>
      </rPr>
      <t>:</t>
    </r>
  </si>
  <si>
    <t>R1a.</t>
  </si>
  <si>
    <t>R1b.</t>
  </si>
  <si>
    <t>R2.</t>
  </si>
  <si>
    <t>R3.</t>
  </si>
  <si>
    <t>E1.</t>
  </si>
  <si>
    <t>E2b.</t>
  </si>
  <si>
    <t>E3.</t>
  </si>
  <si>
    <t>E4.</t>
  </si>
  <si>
    <t>E5.</t>
  </si>
  <si>
    <t>E6.</t>
  </si>
  <si>
    <t>E7.</t>
  </si>
  <si>
    <t>E8.</t>
  </si>
  <si>
    <t>E9.</t>
  </si>
  <si>
    <t>E10.</t>
  </si>
  <si>
    <t>E11.</t>
  </si>
  <si>
    <t>E12.</t>
  </si>
  <si>
    <t>E13.</t>
  </si>
  <si>
    <t>Totals carryforward to Summary Form, Line R2.</t>
  </si>
  <si>
    <t>Totals carryforward to Summary Form, Line R3.</t>
  </si>
  <si>
    <t>Totals carryforward to Summary Form, Line E9.</t>
  </si>
  <si>
    <t>Totals carryforward to Summary Form, Line E3.</t>
  </si>
  <si>
    <t>Totals carryforward to Summary Form, Line E1.</t>
  </si>
  <si>
    <t>Restricted Accounts: include Gift, Endowment, Grant and State</t>
  </si>
  <si>
    <r>
      <t xml:space="preserve">Note Month of Workday report Used [Use Most Recent </t>
    </r>
    <r>
      <rPr>
        <u val="singleAccounting"/>
        <sz val="10"/>
        <rFont val="Arial"/>
        <family val="2"/>
      </rPr>
      <t>Final</t>
    </r>
    <r>
      <rPr>
        <sz val="10"/>
        <rFont val="Arial"/>
        <family val="2"/>
      </rPr>
      <t xml:space="preserve"> Month]</t>
    </r>
  </si>
  <si>
    <t>Year to Date Revenue Amounts for each Revenue Source, from Workday Closed Period</t>
  </si>
  <si>
    <t>List all Currently Budgeted Positions, per Workday Positions Budget by Worktag</t>
  </si>
  <si>
    <t>Enter Current Year Salary Projections, Reconciled to Workday Position Budget Balance by Position</t>
  </si>
  <si>
    <r>
      <t xml:space="preserve">Note Month of Workday Report Used [Use Most Recent </t>
    </r>
    <r>
      <rPr>
        <u val="singleAccounting"/>
        <sz val="10"/>
        <rFont val="Arial"/>
        <family val="2"/>
      </rPr>
      <t>Final</t>
    </r>
    <r>
      <rPr>
        <sz val="10"/>
        <rFont val="Arial"/>
        <family val="2"/>
      </rPr>
      <t xml:space="preserve"> Month]</t>
    </r>
  </si>
  <si>
    <t>Admin Overhead is Calculated on Row 20, based on Revenue Budgeted on Form R1</t>
  </si>
  <si>
    <t>If Account is Exempt from Admin Overhead, Enter 'Y' in Cells D58 &amp; E58</t>
  </si>
  <si>
    <t>President</t>
  </si>
  <si>
    <t>Provost</t>
  </si>
  <si>
    <t>Law</t>
  </si>
  <si>
    <t>Dental</t>
  </si>
  <si>
    <t>Medical</t>
  </si>
  <si>
    <t>Research</t>
  </si>
  <si>
    <t>General Counsel</t>
  </si>
  <si>
    <t>Business Affairs</t>
  </si>
  <si>
    <t>Student Affairs</t>
  </si>
  <si>
    <t>Diversity</t>
  </si>
  <si>
    <t>Campus Wide</t>
  </si>
  <si>
    <t xml:space="preserve">Philanthropy &amp; Alumni </t>
  </si>
  <si>
    <t>FY20
HOURLY</t>
  </si>
  <si>
    <t>Direct Entry Expenditures - Year to Date amounts, from Workday PLUS Estimate of Activity through Year End</t>
  </si>
  <si>
    <t>Section for Letter of Appointments Amounts and Duties</t>
  </si>
  <si>
    <t>Year to Date Subtotal, Cell F40, Matches Workday Manager Balance report</t>
  </si>
  <si>
    <t>Mandatory Transfers Out Section for Transfers to Fund Debt Service Accounts: Fund FD806</t>
  </si>
  <si>
    <t>FY19 FRINGE BENEFIT RATES</t>
  </si>
  <si>
    <t>RESIDENTS</t>
  </si>
  <si>
    <t>Notes FY20:</t>
  </si>
  <si>
    <t>Registration Fees - Budget Only</t>
  </si>
  <si>
    <t>Sales &amp; Services of Educational Departments</t>
  </si>
  <si>
    <t>Investment Income - Budget Only</t>
  </si>
  <si>
    <t>Gifts - Operating</t>
  </si>
  <si>
    <t>Other Operating Revenues</t>
  </si>
  <si>
    <t>Faculty Base Pay</t>
  </si>
  <si>
    <t>Graduate Assistant Base Pay</t>
  </si>
  <si>
    <t>Classified Base Pay</t>
  </si>
  <si>
    <t>Hourly Base Pay</t>
  </si>
  <si>
    <t>Fringe Rate Calculated Expense</t>
  </si>
  <si>
    <t>General Operations - Budget Only</t>
  </si>
  <si>
    <t>Travel - Budget Only</t>
  </si>
  <si>
    <t>Sales and Service Recharge</t>
  </si>
  <si>
    <t>Financial Aid - Budget Only</t>
  </si>
  <si>
    <t>Budgeted Reserves - Positive</t>
  </si>
  <si>
    <t>Transfers In - Voluntary</t>
  </si>
  <si>
    <t>Transfers Out - Voluntary</t>
  </si>
  <si>
    <t>Transfers Out - Mandatory/Debt</t>
  </si>
  <si>
    <t>Budgeted Beginning Balance</t>
  </si>
  <si>
    <t>Format: Unit - Cost Center - Fund - Worktag</t>
  </si>
  <si>
    <t>HOURLY
WAGES</t>
  </si>
  <si>
    <t>FD201</t>
  </si>
  <si>
    <t>FY21 SELF SUPPORTING BUDGET CHECKLIST</t>
  </si>
  <si>
    <t>FY21 SELF-SUPPORTING BUDGET REQUEST</t>
  </si>
  <si>
    <t>FY21</t>
  </si>
  <si>
    <t>FY21 NEW POSITION REQUESTS</t>
  </si>
  <si>
    <t>FY21 BUDGET</t>
  </si>
  <si>
    <t>FY20 YEAR-TO-DATE TOTAL VT-F&amp;A REVENUE:</t>
  </si>
  <si>
    <t>FY20 YEAR-TO-DATE TOTAL VT-OTHER REVENUE:</t>
  </si>
  <si>
    <t>FY19 Budgeted Account Actuals</t>
  </si>
  <si>
    <t>Legacy Acct Fund</t>
  </si>
  <si>
    <t>Legacy Acct Agency</t>
  </si>
  <si>
    <t>Legacy Acct Org</t>
  </si>
  <si>
    <t>Roll Up</t>
  </si>
  <si>
    <t>Account Title</t>
  </si>
  <si>
    <t>FY19 Beg Bal</t>
  </si>
  <si>
    <t>FY19 Revenue</t>
  </si>
  <si>
    <t>FY19 Trans In</t>
  </si>
  <si>
    <t>HOSTING</t>
  </si>
  <si>
    <t>PG03703</t>
  </si>
  <si>
    <t>PG10587</t>
  </si>
  <si>
    <t>PG11214</t>
  </si>
  <si>
    <t>PG08121</t>
  </si>
  <si>
    <t>PG12862</t>
  </si>
  <si>
    <t>PG07025</t>
  </si>
  <si>
    <t>PG03213</t>
  </si>
  <si>
    <t>PG06477</t>
  </si>
  <si>
    <t>PG04541</t>
  </si>
  <si>
    <t>PG04882</t>
  </si>
  <si>
    <t>PG03417</t>
  </si>
  <si>
    <t>PG04680</t>
  </si>
  <si>
    <t>PG00730</t>
  </si>
  <si>
    <t>PG07360</t>
  </si>
  <si>
    <t>PG01858</t>
  </si>
  <si>
    <t>PG02238</t>
  </si>
  <si>
    <t>PG00621</t>
  </si>
  <si>
    <t>PG07323</t>
  </si>
  <si>
    <t>PG12277</t>
  </si>
  <si>
    <t>PG02651</t>
  </si>
  <si>
    <t>PG03407</t>
  </si>
  <si>
    <t>PG08005</t>
  </si>
  <si>
    <t>PG08993</t>
  </si>
  <si>
    <t>PG03025</t>
  </si>
  <si>
    <t>PG03758</t>
  </si>
  <si>
    <t>PG04059</t>
  </si>
  <si>
    <t>PG10955</t>
  </si>
  <si>
    <t>PG12278</t>
  </si>
  <si>
    <t>PG00900</t>
  </si>
  <si>
    <t>PG05032</t>
  </si>
  <si>
    <t>PG01245</t>
  </si>
  <si>
    <t>PG00016</t>
  </si>
  <si>
    <t>PG00108</t>
  </si>
  <si>
    <t>PG02115</t>
  </si>
  <si>
    <t>PG02606</t>
  </si>
  <si>
    <t>PG03870</t>
  </si>
  <si>
    <t>PG06880</t>
  </si>
  <si>
    <t>PG07341</t>
  </si>
  <si>
    <t>PG08105</t>
  </si>
  <si>
    <t>PG12256</t>
  </si>
  <si>
    <t>PG02896</t>
  </si>
  <si>
    <t>PG07232</t>
  </si>
  <si>
    <t>PG12504</t>
  </si>
  <si>
    <t>PG00602</t>
  </si>
  <si>
    <t>PG05306</t>
  </si>
  <si>
    <t>PG07370</t>
  </si>
  <si>
    <t>PG08384</t>
  </si>
  <si>
    <t>PG08525</t>
  </si>
  <si>
    <t>PG03008</t>
  </si>
  <si>
    <t>PG06335</t>
  </si>
  <si>
    <t>PG01255</t>
  </si>
  <si>
    <t>PG01883</t>
  </si>
  <si>
    <t>PG04561</t>
  </si>
  <si>
    <t>PG06408</t>
  </si>
  <si>
    <t>PG07742</t>
  </si>
  <si>
    <t>PG02347</t>
  </si>
  <si>
    <t>PG02392</t>
  </si>
  <si>
    <t>PG12212</t>
  </si>
  <si>
    <t>PG05462</t>
  </si>
  <si>
    <t>PG10638</t>
  </si>
  <si>
    <t>PG05892</t>
  </si>
  <si>
    <t>PG07361</t>
  </si>
  <si>
    <t>PG04248</t>
  </si>
  <si>
    <t>PG07502</t>
  </si>
  <si>
    <t>PG12584</t>
  </si>
  <si>
    <t>PG06921</t>
  </si>
  <si>
    <t>PG17951</t>
  </si>
  <si>
    <t>PG03405</t>
  </si>
  <si>
    <t>PG04160</t>
  </si>
  <si>
    <t>PG05469</t>
  </si>
  <si>
    <t>PG03951</t>
  </si>
  <si>
    <t>PG06044</t>
  </si>
  <si>
    <t>PG07131</t>
  </si>
  <si>
    <t>PG02012</t>
  </si>
  <si>
    <t>PG00875</t>
  </si>
  <si>
    <t>PG04807</t>
  </si>
  <si>
    <t>PG03719</t>
  </si>
  <si>
    <t>PG17484</t>
  </si>
  <si>
    <t>PG00257</t>
  </si>
  <si>
    <t>PG06730</t>
  </si>
  <si>
    <t>PG06979</t>
  </si>
  <si>
    <t>PG07741</t>
  </si>
  <si>
    <t>PG03788</t>
  </si>
  <si>
    <t>PG00864</t>
  </si>
  <si>
    <t>PG03281</t>
  </si>
  <si>
    <t>PG03795</t>
  </si>
  <si>
    <t>PG06569</t>
  </si>
  <si>
    <t>PG07682</t>
  </si>
  <si>
    <t>PG00879</t>
  </si>
  <si>
    <t>PG03134</t>
  </si>
  <si>
    <t>PG07017</t>
  </si>
  <si>
    <t>PG08651</t>
  </si>
  <si>
    <t>PG12755</t>
  </si>
  <si>
    <t>PG08006</t>
  </si>
  <si>
    <t>PG07213</t>
  </si>
  <si>
    <t>PG01577</t>
  </si>
  <si>
    <t>PG07295</t>
  </si>
  <si>
    <t>PG08546</t>
  </si>
  <si>
    <t>PG03097</t>
  </si>
  <si>
    <t>PG04417</t>
  </si>
  <si>
    <t>PG04665</t>
  </si>
  <si>
    <t>PG06017</t>
  </si>
  <si>
    <t>PG03131</t>
  </si>
  <si>
    <t>PG03595</t>
  </si>
  <si>
    <t>PG00862</t>
  </si>
  <si>
    <t>PG12522</t>
  </si>
  <si>
    <t>PG01091</t>
  </si>
  <si>
    <t>PG02489</t>
  </si>
  <si>
    <t>PG02620</t>
  </si>
  <si>
    <t>PG02850</t>
  </si>
  <si>
    <t>PG03476</t>
  </si>
  <si>
    <t>PG05476</t>
  </si>
  <si>
    <t>PG05675</t>
  </si>
  <si>
    <t>PG06754</t>
  </si>
  <si>
    <t>PG07365</t>
  </si>
  <si>
    <t>PG07615</t>
  </si>
  <si>
    <t>PG08988</t>
  </si>
  <si>
    <t>PG11051</t>
  </si>
  <si>
    <t>PG11212</t>
  </si>
  <si>
    <t>PG12647</t>
  </si>
  <si>
    <t>PG17945</t>
  </si>
  <si>
    <t>PG05799</t>
  </si>
  <si>
    <t>PG12576</t>
  </si>
  <si>
    <t>PG06819</t>
  </si>
  <si>
    <t>PG08995</t>
  </si>
  <si>
    <t>PG12435</t>
  </si>
  <si>
    <t>PG07329</t>
  </si>
  <si>
    <t>PG12097</t>
  </si>
  <si>
    <t>PG01143</t>
  </si>
  <si>
    <t>PG05356</t>
  </si>
  <si>
    <t>PG12433</t>
  </si>
  <si>
    <t>PG12434</t>
  </si>
  <si>
    <t>PG01530</t>
  </si>
  <si>
    <t>PG06339</t>
  </si>
  <si>
    <t>PG06758</t>
  </si>
  <si>
    <t>PG08310</t>
  </si>
  <si>
    <t>PG10416</t>
  </si>
  <si>
    <t>PG11007</t>
  </si>
  <si>
    <t>PG02233</t>
  </si>
  <si>
    <t>PG03257</t>
  </si>
  <si>
    <t>PG05351</t>
  </si>
  <si>
    <t>PG02414</t>
  </si>
  <si>
    <t>PG10586</t>
  </si>
  <si>
    <t>PG03601</t>
  </si>
  <si>
    <t>PG02349</t>
  </si>
  <si>
    <t>PG06782</t>
  </si>
  <si>
    <t>PG11737</t>
  </si>
  <si>
    <t>PG00740</t>
  </si>
  <si>
    <t>PG04350</t>
  </si>
  <si>
    <t>PG02517</t>
  </si>
  <si>
    <t>PG08101</t>
  </si>
  <si>
    <t>PG00249</t>
  </si>
  <si>
    <t>PG12276</t>
  </si>
  <si>
    <t>PG05426</t>
  </si>
  <si>
    <t>PG02562</t>
  </si>
  <si>
    <t>PG08455</t>
  </si>
  <si>
    <t>PG03142</t>
  </si>
  <si>
    <t>PG02804</t>
  </si>
  <si>
    <t>PG10585</t>
  </si>
  <si>
    <t>PG11503</t>
  </si>
  <si>
    <t>PG12238</t>
  </si>
  <si>
    <t>PG12521</t>
  </si>
  <si>
    <t>PG01241</t>
  </si>
  <si>
    <t>PG02411</t>
  </si>
  <si>
    <t>PG05481</t>
  </si>
  <si>
    <t>PG04212</t>
  </si>
  <si>
    <t>PG07728</t>
  </si>
  <si>
    <t>PG08550</t>
  </si>
  <si>
    <t>PG00555</t>
  </si>
  <si>
    <t>PG05617</t>
  </si>
  <si>
    <t>PG00665</t>
  </si>
  <si>
    <t>PG01521</t>
  </si>
  <si>
    <t>PG02840</t>
  </si>
  <si>
    <t>PG05588</t>
  </si>
  <si>
    <t>PG07781</t>
  </si>
  <si>
    <t>PG01649</t>
  </si>
  <si>
    <t>PG06542</t>
  </si>
  <si>
    <t>PG11304</t>
  </si>
  <si>
    <t>PG00069</t>
  </si>
  <si>
    <t>PG01398</t>
  </si>
  <si>
    <t>PG01871</t>
  </si>
  <si>
    <t>PG03488</t>
  </si>
  <si>
    <t>PG04239</t>
  </si>
  <si>
    <t>PG04436</t>
  </si>
  <si>
    <t>PG04734</t>
  </si>
  <si>
    <t>PG06750</t>
  </si>
  <si>
    <t>PG07534</t>
  </si>
  <si>
    <t>PG07594</t>
  </si>
  <si>
    <t>PG17949</t>
  </si>
  <si>
    <t>PG05507</t>
  </si>
  <si>
    <t>PG01236</t>
  </si>
  <si>
    <t>PG04437</t>
  </si>
  <si>
    <t>PG18507</t>
  </si>
  <si>
    <t>PG02222</t>
  </si>
  <si>
    <t>PG03021</t>
  </si>
  <si>
    <t>PG01108</t>
  </si>
  <si>
    <t>PG01564</t>
  </si>
  <si>
    <t>PG01618</t>
  </si>
  <si>
    <t>PG03196</t>
  </si>
  <si>
    <t>PG04464</t>
  </si>
  <si>
    <t>PG04585</t>
  </si>
  <si>
    <t>PG04830</t>
  </si>
  <si>
    <t>PG05818</t>
  </si>
  <si>
    <t>PG08087</t>
  </si>
  <si>
    <t>PG08342</t>
  </si>
  <si>
    <t>PG10953</t>
  </si>
  <si>
    <t>PG11055</t>
  </si>
  <si>
    <t>PG11213</t>
  </si>
  <si>
    <t>PG17948</t>
  </si>
  <si>
    <t>PG04259</t>
  </si>
  <si>
    <t>PG10588</t>
  </si>
  <si>
    <t>PG10648</t>
  </si>
  <si>
    <t>PG10972</t>
  </si>
  <si>
    <t>PG10975</t>
  </si>
  <si>
    <t>PG11215</t>
  </si>
  <si>
    <t>PG11216</t>
  </si>
  <si>
    <t>PG01727</t>
  </si>
  <si>
    <t>PG04415</t>
  </si>
  <si>
    <t>PG01670</t>
  </si>
  <si>
    <t>PG05628</t>
  </si>
  <si>
    <t>PG04499</t>
  </si>
  <si>
    <t>PG05523</t>
  </si>
  <si>
    <t>PG06304</t>
  </si>
  <si>
    <t>PG01191</t>
  </si>
  <si>
    <t>PG03545</t>
  </si>
  <si>
    <t>PG09075</t>
  </si>
  <si>
    <t>PG10956</t>
  </si>
  <si>
    <t>PG08673</t>
  </si>
  <si>
    <t>PG04953</t>
  </si>
  <si>
    <t>PG05215</t>
  </si>
  <si>
    <t>PG05833</t>
  </si>
  <si>
    <t>PG07787</t>
  </si>
  <si>
    <t>PG07831</t>
  </si>
  <si>
    <t>PG02230</t>
  </si>
  <si>
    <t>PG06239</t>
  </si>
  <si>
    <t>PG05531</t>
  </si>
  <si>
    <t>PG00932</t>
  </si>
  <si>
    <t>PG03517</t>
  </si>
  <si>
    <t>PG04751</t>
  </si>
  <si>
    <t>PG05525</t>
  </si>
  <si>
    <t>PG05868</t>
  </si>
  <si>
    <t>PG07218</t>
  </si>
  <si>
    <t>PG07301</t>
  </si>
  <si>
    <t>PG07457</t>
  </si>
  <si>
    <t>PG07632</t>
  </si>
  <si>
    <t>PG07899</t>
  </si>
  <si>
    <t>PG18107</t>
  </si>
  <si>
    <t>PG00126</t>
  </si>
  <si>
    <t>PG04698</t>
  </si>
  <si>
    <t>PG06985</t>
  </si>
  <si>
    <t>PG08245</t>
  </si>
  <si>
    <t>PG03183</t>
  </si>
  <si>
    <t>PG04125</t>
  </si>
  <si>
    <t>PG11295</t>
  </si>
  <si>
    <t>PG12099</t>
  </si>
  <si>
    <t>PG05605</t>
  </si>
  <si>
    <t>PG11303</t>
  </si>
  <si>
    <t>PG03145</t>
  </si>
  <si>
    <t>PG12163</t>
  </si>
  <si>
    <t>PG12214</t>
  </si>
  <si>
    <t>PG12215</t>
  </si>
  <si>
    <t>PG12216</t>
  </si>
  <si>
    <t>PG12218</t>
  </si>
  <si>
    <t>PG12219</t>
  </si>
  <si>
    <t>PG12227</t>
  </si>
  <si>
    <t>PG12228</t>
  </si>
  <si>
    <t>PG12231</t>
  </si>
  <si>
    <t>PG12232</t>
  </si>
  <si>
    <t>PG12233</t>
  </si>
  <si>
    <t>PG12240</t>
  </si>
  <si>
    <t>PG12244</t>
  </si>
  <si>
    <t>PG12245</t>
  </si>
  <si>
    <t>PG17576</t>
  </si>
  <si>
    <t>PG17577</t>
  </si>
  <si>
    <t>PG07664</t>
  </si>
  <si>
    <t>PG08794</t>
  </si>
  <si>
    <t>PG00888</t>
  </si>
  <si>
    <t>PG03176</t>
  </si>
  <si>
    <t>PG00184</t>
  </si>
  <si>
    <t>PG05355</t>
  </si>
  <si>
    <t>PG08225</t>
  </si>
  <si>
    <t>PG08395</t>
  </si>
  <si>
    <t>PG12248</t>
  </si>
  <si>
    <t>PG12252</t>
  </si>
  <si>
    <t>PG00658</t>
  </si>
  <si>
    <t>PG00870</t>
  </si>
  <si>
    <t>PG02918</t>
  </si>
  <si>
    <t>PG03914</t>
  </si>
  <si>
    <t>PG07965</t>
  </si>
  <si>
    <t>PG08077</t>
  </si>
  <si>
    <t>PG11211</t>
  </si>
  <si>
    <t>PG02458</t>
  </si>
  <si>
    <t>PG07948</t>
  </si>
  <si>
    <t>PG00704</t>
  </si>
  <si>
    <t>PG03963</t>
  </si>
  <si>
    <t>PG03065</t>
  </si>
  <si>
    <t>PG03067</t>
  </si>
  <si>
    <t>PG01751</t>
  </si>
  <si>
    <t>PG04753</t>
  </si>
  <si>
    <t>PG05900</t>
  </si>
  <si>
    <t>PG02271</t>
  </si>
  <si>
    <t>PG06603</t>
  </si>
  <si>
    <t>PG08411</t>
  </si>
  <si>
    <t>PG00017</t>
  </si>
  <si>
    <t>PG00233</t>
  </si>
  <si>
    <t>PG03342</t>
  </si>
  <si>
    <t>PG05701</t>
  </si>
  <si>
    <t>PG06654</t>
  </si>
  <si>
    <t>PG07529</t>
  </si>
  <si>
    <t>PG09043</t>
  </si>
  <si>
    <t>PG04141</t>
  </si>
  <si>
    <t>PG04575</t>
  </si>
  <si>
    <t>PG03809</t>
  </si>
  <si>
    <t>PG00686</t>
  </si>
  <si>
    <t>PG04268</t>
  </si>
  <si>
    <t>PG07524</t>
  </si>
  <si>
    <t>PG00297</t>
  </si>
  <si>
    <t>PG02753</t>
  </si>
  <si>
    <t>PG05556</t>
  </si>
  <si>
    <t>PG04770</t>
  </si>
  <si>
    <t>PG07495</t>
  </si>
  <si>
    <t>PG18550</t>
  </si>
  <si>
    <t>PG03221</t>
  </si>
  <si>
    <t>PG08271</t>
  </si>
  <si>
    <t>PG05646</t>
  </si>
  <si>
    <t>PG07403</t>
  </si>
  <si>
    <t>PG18522</t>
  </si>
  <si>
    <t>PG00618</t>
  </si>
  <si>
    <t>PG02995</t>
  </si>
  <si>
    <t>PG04108</t>
  </si>
  <si>
    <t>PG04423</t>
  </si>
  <si>
    <t>PG05770</t>
  </si>
  <si>
    <t>PG06334</t>
  </si>
  <si>
    <t>PG07895</t>
  </si>
  <si>
    <t>PG10662</t>
  </si>
  <si>
    <t>PG18044</t>
  </si>
  <si>
    <t>PG18203</t>
  </si>
  <si>
    <t>PG01472</t>
  </si>
  <si>
    <t>PG04242</t>
  </si>
  <si>
    <t>PG07644</t>
  </si>
  <si>
    <t>PG18246</t>
  </si>
  <si>
    <t>PG18247</t>
  </si>
  <si>
    <t>PG18266</t>
  </si>
  <si>
    <t>PG11043</t>
  </si>
  <si>
    <t>PG12609</t>
  </si>
  <si>
    <t>PG17461</t>
  </si>
  <si>
    <t>PG18473</t>
  </si>
  <si>
    <t>PG18397</t>
  </si>
  <si>
    <t>PG00317</t>
  </si>
  <si>
    <t>PG12272</t>
  </si>
  <si>
    <t>PG02418</t>
  </si>
  <si>
    <t>PG12253</t>
  </si>
  <si>
    <t>PG12264</t>
  </si>
  <si>
    <t>PG00646</t>
  </si>
  <si>
    <t>PG00199</t>
  </si>
  <si>
    <t>PG00978</t>
  </si>
  <si>
    <t>PG05105</t>
  </si>
  <si>
    <t>PG06146</t>
  </si>
  <si>
    <t>PG12033</t>
  </si>
  <si>
    <t>PG07694</t>
  </si>
  <si>
    <t>PG00698</t>
  </si>
  <si>
    <t>PG06953</t>
  </si>
  <si>
    <t>PG12265</t>
  </si>
  <si>
    <t>PG12268</t>
  </si>
  <si>
    <t>PG12292</t>
  </si>
  <si>
    <t>PG02288</t>
  </si>
  <si>
    <t>PG09721</t>
  </si>
  <si>
    <t>PG08684</t>
  </si>
  <si>
    <t>PG08948</t>
  </si>
  <si>
    <t>PG01931</t>
  </si>
  <si>
    <t>PG06006</t>
  </si>
  <si>
    <t>PG06554</t>
  </si>
  <si>
    <t>PG00528</t>
  </si>
  <si>
    <t>PG02106</t>
  </si>
  <si>
    <t>PG10467</t>
  </si>
  <si>
    <t>PG11100</t>
  </si>
  <si>
    <t>PG05386</t>
  </si>
  <si>
    <t>PG06793</t>
  </si>
  <si>
    <t>PG06997</t>
  </si>
  <si>
    <t>PG01798</t>
  </si>
  <si>
    <t>PG07715</t>
  </si>
  <si>
    <t>PG03709</t>
  </si>
  <si>
    <t>PG04779</t>
  </si>
  <si>
    <t>PG07056</t>
  </si>
  <si>
    <t>PG06233</t>
  </si>
  <si>
    <t>PG12269</t>
  </si>
  <si>
    <t>PG07268</t>
  </si>
  <si>
    <t>PG03278</t>
  </si>
  <si>
    <t>PG17488</t>
  </si>
  <si>
    <t>PG00446</t>
  </si>
  <si>
    <t>PG12431</t>
  </si>
  <si>
    <t>PG08454</t>
  </si>
  <si>
    <t>PG04202</t>
  </si>
  <si>
    <t>PG03519</t>
  </si>
  <si>
    <t>PG08257</t>
  </si>
  <si>
    <t>PG08109</t>
  </si>
  <si>
    <t>PG02791</t>
  </si>
  <si>
    <t>PG12294</t>
  </si>
  <si>
    <t>PG04435</t>
  </si>
  <si>
    <t>PG01509</t>
  </si>
  <si>
    <t>PG11103</t>
  </si>
  <si>
    <t>PG11955</t>
  </si>
  <si>
    <t>PG10832</t>
  </si>
  <si>
    <t>PG11300</t>
  </si>
  <si>
    <t>PG10945</t>
  </si>
  <si>
    <t>PG11710</t>
  </si>
  <si>
    <t>PG12259</t>
  </si>
  <si>
    <t>PG11519</t>
  </si>
  <si>
    <t>PG12260</t>
  </si>
  <si>
    <t>PG12261</t>
  </si>
  <si>
    <t>PG11688</t>
  </si>
  <si>
    <t>PG12263</t>
  </si>
  <si>
    <t>PG11684</t>
  </si>
  <si>
    <t>PG11687</t>
  </si>
  <si>
    <t>PG11686</t>
  </si>
  <si>
    <t>PG11689</t>
  </si>
  <si>
    <t>PG11029</t>
  </si>
  <si>
    <t>PG11507</t>
  </si>
  <si>
    <t>PG11690</t>
  </si>
  <si>
    <t>PG17754</t>
  </si>
  <si>
    <t>PG11685</t>
  </si>
  <si>
    <t>PG18555</t>
  </si>
  <si>
    <t>PG11692</t>
  </si>
  <si>
    <t>PG11691</t>
  </si>
  <si>
    <t>PG11695</t>
  </si>
  <si>
    <t>PG11696</t>
  </si>
  <si>
    <t>PG12283</t>
  </si>
  <si>
    <t>PG11698</t>
  </si>
  <si>
    <t>PG11707</t>
  </si>
  <si>
    <t>PG12282</t>
  </si>
  <si>
    <t>PG11709</t>
  </si>
  <si>
    <t>PG12273</t>
  </si>
  <si>
    <t>PG18469</t>
  </si>
  <si>
    <t>PG12281</t>
  </si>
  <si>
    <t>PG11700</t>
  </si>
  <si>
    <t>PG11701</t>
  </si>
  <si>
    <t>PG11706</t>
  </si>
  <si>
    <t>PG12275</t>
  </si>
  <si>
    <t>PG12285</t>
  </si>
  <si>
    <t>PG11693</t>
  </si>
  <si>
    <t>PG11697</t>
  </si>
  <si>
    <t>PG12262</t>
  </si>
  <si>
    <t>PG11694</t>
  </si>
  <si>
    <t>PG11703</t>
  </si>
  <si>
    <t>PG11705</t>
  </si>
  <si>
    <t>PG11941</t>
  </si>
  <si>
    <t>PG11504</t>
  </si>
  <si>
    <t>PG11708</t>
  </si>
  <si>
    <t>PG11702</t>
  </si>
  <si>
    <t>PG11704</t>
  </si>
  <si>
    <t>PG12267</t>
  </si>
  <si>
    <t>PG11699</t>
  </si>
  <si>
    <t>PG11943</t>
  </si>
  <si>
    <t>PG11942</t>
  </si>
  <si>
    <t>PG11946</t>
  </si>
  <si>
    <t>PG11947</t>
  </si>
  <si>
    <t>PG11945</t>
  </si>
  <si>
    <t>PG12246</t>
  </si>
  <si>
    <t>PG11738</t>
  </si>
  <si>
    <t>PG11739</t>
  </si>
  <si>
    <t>PG11939</t>
  </si>
  <si>
    <t>PG11995</t>
  </si>
  <si>
    <t>PG11944</t>
  </si>
  <si>
    <t>PG11937</t>
  </si>
  <si>
    <t>PG11938</t>
  </si>
  <si>
    <t>PG11940</t>
  </si>
  <si>
    <t>PG11465</t>
  </si>
  <si>
    <t>PG11467</t>
  </si>
  <si>
    <t>PG11468</t>
  </si>
  <si>
    <t>PG11470</t>
  </si>
  <si>
    <t>PG12257</t>
  </si>
  <si>
    <t>PG11972</t>
  </si>
  <si>
    <t>PG11466</t>
  </si>
  <si>
    <t>PG11469</t>
  </si>
  <si>
    <t>GF00113</t>
  </si>
  <si>
    <t>GF00264</t>
  </si>
  <si>
    <t>GF00275</t>
  </si>
  <si>
    <t>GF00285</t>
  </si>
  <si>
    <t>GF00311</t>
  </si>
  <si>
    <t>GF00408</t>
  </si>
  <si>
    <t>GF00461</t>
  </si>
  <si>
    <t>GF00508</t>
  </si>
  <si>
    <t>GF00533</t>
  </si>
  <si>
    <t>GF00687</t>
  </si>
  <si>
    <t>GF00716</t>
  </si>
  <si>
    <t>GF00825</t>
  </si>
  <si>
    <t>GF01011</t>
  </si>
  <si>
    <t>GF01039</t>
  </si>
  <si>
    <t>GF01069</t>
  </si>
  <si>
    <t>GF01272</t>
  </si>
  <si>
    <t>GF01314</t>
  </si>
  <si>
    <t>GF01355</t>
  </si>
  <si>
    <t>GF01396</t>
  </si>
  <si>
    <t>GF01462</t>
  </si>
  <si>
    <t>GF01489</t>
  </si>
  <si>
    <t>GF01497</t>
  </si>
  <si>
    <t>GF01506</t>
  </si>
  <si>
    <t>GF01516</t>
  </si>
  <si>
    <t>GF01530</t>
  </si>
  <si>
    <t>GF01542</t>
  </si>
  <si>
    <t>GF01713</t>
  </si>
  <si>
    <t>GF01726</t>
  </si>
  <si>
    <t>GF01728</t>
  </si>
  <si>
    <t>GF01802</t>
  </si>
  <si>
    <t>GF01826</t>
  </si>
  <si>
    <t>GF01893</t>
  </si>
  <si>
    <t>GF02022</t>
  </si>
  <si>
    <t>GF02090</t>
  </si>
  <si>
    <t>GF02134</t>
  </si>
  <si>
    <t>GF02206</t>
  </si>
  <si>
    <t>GF02378</t>
  </si>
  <si>
    <t>GF02475</t>
  </si>
  <si>
    <t>GF02589</t>
  </si>
  <si>
    <t>GF02594</t>
  </si>
  <si>
    <t>GF02598</t>
  </si>
  <si>
    <t>GF02691</t>
  </si>
  <si>
    <t>GF02806</t>
  </si>
  <si>
    <t>GF02873</t>
  </si>
  <si>
    <t>GF02910</t>
  </si>
  <si>
    <t>GF02938</t>
  </si>
  <si>
    <t>GF02940</t>
  </si>
  <si>
    <t>GF03006</t>
  </si>
  <si>
    <t>GF03138</t>
  </si>
  <si>
    <t>GF03172</t>
  </si>
  <si>
    <t>GF03296</t>
  </si>
  <si>
    <t>GF03470</t>
  </si>
  <si>
    <t>GF03492</t>
  </si>
  <si>
    <t>GF03581</t>
  </si>
  <si>
    <t>GF03802</t>
  </si>
  <si>
    <t>GF03929</t>
  </si>
  <si>
    <t>GF03982</t>
  </si>
  <si>
    <t>GF03986</t>
  </si>
  <si>
    <t>GF04055</t>
  </si>
  <si>
    <t>GF04096</t>
  </si>
  <si>
    <t>GF04115</t>
  </si>
  <si>
    <t>GF04137</t>
  </si>
  <si>
    <t>GF04157</t>
  </si>
  <si>
    <t>GF04242</t>
  </si>
  <si>
    <t>GF04262</t>
  </si>
  <si>
    <t>GF04296</t>
  </si>
  <si>
    <t>GF04322</t>
  </si>
  <si>
    <t>GF04376</t>
  </si>
  <si>
    <t>GF04382</t>
  </si>
  <si>
    <t>GF04498</t>
  </si>
  <si>
    <t>GF05471</t>
  </si>
  <si>
    <t>GF01650</t>
  </si>
  <si>
    <t>GF04481</t>
  </si>
  <si>
    <t>GF00720</t>
  </si>
  <si>
    <t>GF01359</t>
  </si>
  <si>
    <t>GF02316</t>
  </si>
  <si>
    <t>GF03231</t>
  </si>
  <si>
    <t>GF03430</t>
  </si>
  <si>
    <t>GF04369</t>
  </si>
  <si>
    <t>GF00263</t>
  </si>
  <si>
    <t>GF02976</t>
  </si>
  <si>
    <t>GF03915</t>
  </si>
  <si>
    <t>GF02626</t>
  </si>
  <si>
    <t>GF00097</t>
  </si>
  <si>
    <t>GF01147</t>
  </si>
  <si>
    <t>GF00931</t>
  </si>
  <si>
    <t>GF01615</t>
  </si>
  <si>
    <t>GF04733</t>
  </si>
  <si>
    <t>GF04869</t>
  </si>
  <si>
    <t>GF04926</t>
  </si>
  <si>
    <t>GF05169</t>
  </si>
  <si>
    <t>GF00939</t>
  </si>
  <si>
    <t>GF00843</t>
  </si>
  <si>
    <t>GF04730</t>
  </si>
  <si>
    <t>GF01195</t>
  </si>
  <si>
    <t>GF01686</t>
  </si>
  <si>
    <t>GF03221</t>
  </si>
  <si>
    <t>GF03620</t>
  </si>
  <si>
    <t>GF04029</t>
  </si>
  <si>
    <t>GF00964</t>
  </si>
  <si>
    <t>GF05025</t>
  </si>
  <si>
    <t>GF00190</t>
  </si>
  <si>
    <t>GF00856</t>
  </si>
  <si>
    <t>GF01810</t>
  </si>
  <si>
    <t>GF02869</t>
  </si>
  <si>
    <t>GF04497</t>
  </si>
  <si>
    <t>GF04737</t>
  </si>
  <si>
    <t>GF05000</t>
  </si>
  <si>
    <t>GF03166</t>
  </si>
  <si>
    <t>GF04976</t>
  </si>
  <si>
    <t>GF00823</t>
  </si>
  <si>
    <t>GF00046</t>
  </si>
  <si>
    <t>GF02792</t>
  </si>
  <si>
    <t>GF00118</t>
  </si>
  <si>
    <t>GF00374</t>
  </si>
  <si>
    <t>GF00610</t>
  </si>
  <si>
    <t>GF01709</t>
  </si>
  <si>
    <t>GF02445</t>
  </si>
  <si>
    <t>GF03108</t>
  </si>
  <si>
    <t>GF03797</t>
  </si>
  <si>
    <t>GF03886</t>
  </si>
  <si>
    <t>GF04365</t>
  </si>
  <si>
    <t>GF04994</t>
  </si>
  <si>
    <t>GF03701</t>
  </si>
  <si>
    <t>GF05001</t>
  </si>
  <si>
    <t>GF05002</t>
  </si>
  <si>
    <t>GF04738</t>
  </si>
  <si>
    <t>GF02936</t>
  </si>
  <si>
    <t>GF03435</t>
  </si>
  <si>
    <t>GF05410</t>
  </si>
  <si>
    <t>GF01986</t>
  </si>
  <si>
    <t>GF04492</t>
  </si>
  <si>
    <t>GF05060</t>
  </si>
  <si>
    <t>GF04022</t>
  </si>
  <si>
    <t>GF01484</t>
  </si>
  <si>
    <t>GF04973</t>
  </si>
  <si>
    <t>GF04974</t>
  </si>
  <si>
    <t>GF04999</t>
  </si>
  <si>
    <t>GF00699</t>
  </si>
  <si>
    <t>GF02671</t>
  </si>
  <si>
    <t>GF01067</t>
  </si>
  <si>
    <t>GF01166</t>
  </si>
  <si>
    <t>GF03206</t>
  </si>
  <si>
    <t>GF01860</t>
  </si>
  <si>
    <t>GF00224</t>
  </si>
  <si>
    <t>GF03167</t>
  </si>
  <si>
    <t>GF03708</t>
  </si>
  <si>
    <t>GF04729</t>
  </si>
  <si>
    <t>GF04731</t>
  </si>
  <si>
    <t>GF04041</t>
  </si>
  <si>
    <t>GF00026</t>
  </si>
  <si>
    <t>GF01941</t>
  </si>
  <si>
    <t>GF04268</t>
  </si>
  <si>
    <t>GF05520</t>
  </si>
  <si>
    <t>GF03499</t>
  </si>
  <si>
    <t>GF03575</t>
  </si>
  <si>
    <t>GF05460</t>
  </si>
  <si>
    <t>GF02567</t>
  </si>
  <si>
    <t>GF04963</t>
  </si>
  <si>
    <t>GF00779</t>
  </si>
  <si>
    <t>GF01092</t>
  </si>
  <si>
    <t>GF01139</t>
  </si>
  <si>
    <t>GF01167</t>
  </si>
  <si>
    <t>GF02220</t>
  </si>
  <si>
    <t>GF02320</t>
  </si>
  <si>
    <t>GF02956</t>
  </si>
  <si>
    <t>GF03286</t>
  </si>
  <si>
    <t>GF04740</t>
  </si>
  <si>
    <t>GF02581</t>
  </si>
  <si>
    <t>GF01898</t>
  </si>
  <si>
    <t>GF04935</t>
  </si>
  <si>
    <t>GF02554</t>
  </si>
  <si>
    <t>GF03413</t>
  </si>
  <si>
    <t>GF05556</t>
  </si>
  <si>
    <t>GF01232</t>
  </si>
  <si>
    <t>GF01257</t>
  </si>
  <si>
    <t>GF03234</t>
  </si>
  <si>
    <t>GF04732</t>
  </si>
  <si>
    <t>GF00079</t>
  </si>
  <si>
    <t>GF00138</t>
  </si>
  <si>
    <t>GF00632</t>
  </si>
  <si>
    <t>GF00684</t>
  </si>
  <si>
    <t>GF00689</t>
  </si>
  <si>
    <t>GF00968</t>
  </si>
  <si>
    <t>GF01829</t>
  </si>
  <si>
    <t>GF01909</t>
  </si>
  <si>
    <t>GF02046</t>
  </si>
  <si>
    <t>GF02472</t>
  </si>
  <si>
    <t>GF02604</t>
  </si>
  <si>
    <t>GF03304</t>
  </si>
  <si>
    <t>GF04734</t>
  </si>
  <si>
    <t>GF00165</t>
  </si>
  <si>
    <t>GF01348</t>
  </si>
  <si>
    <t>GF04739</t>
  </si>
  <si>
    <t>GF05370</t>
  </si>
  <si>
    <t>GF01362</t>
  </si>
  <si>
    <t>GF01493</t>
  </si>
  <si>
    <t>GF01901</t>
  </si>
  <si>
    <t>GF03770</t>
  </si>
  <si>
    <t>GF03864</t>
  </si>
  <si>
    <t>GF03655</t>
  </si>
  <si>
    <t>GF02038</t>
  </si>
  <si>
    <t>GF02558</t>
  </si>
  <si>
    <t>GF02716</t>
  </si>
  <si>
    <t>GF00652</t>
  </si>
  <si>
    <t>GF02138</t>
  </si>
  <si>
    <t>GF02242</t>
  </si>
  <si>
    <t>GF02417</t>
  </si>
  <si>
    <t>GF02559</t>
  </si>
  <si>
    <t>GF03022</t>
  </si>
  <si>
    <t>GF04735</t>
  </si>
  <si>
    <t>GF01219</t>
  </si>
  <si>
    <t>GF03819</t>
  </si>
  <si>
    <t>GF01950</t>
  </si>
  <si>
    <t>GF05027</t>
  </si>
  <si>
    <t>GF05028</t>
  </si>
  <si>
    <t>GF00795</t>
  </si>
  <si>
    <t>GF02995</t>
  </si>
  <si>
    <t>GF00782</t>
  </si>
  <si>
    <t>GF04271</t>
  </si>
  <si>
    <t>GF05411</t>
  </si>
  <si>
    <t>GF01699</t>
  </si>
  <si>
    <t>GF02013</t>
  </si>
  <si>
    <t>GF02232</t>
  </si>
  <si>
    <t>GF01928</t>
  </si>
  <si>
    <t>GF02045</t>
  </si>
  <si>
    <t>GF03885</t>
  </si>
  <si>
    <t>GF04861</t>
  </si>
  <si>
    <t>GF03798</t>
  </si>
  <si>
    <t>GF00630</t>
  </si>
  <si>
    <t>GF02533</t>
  </si>
  <si>
    <t>GF02804</t>
  </si>
  <si>
    <t>GF03041</t>
  </si>
  <si>
    <t>GF04971</t>
  </si>
  <si>
    <t>GF02773</t>
  </si>
  <si>
    <t>GF04286</t>
  </si>
  <si>
    <t>GF05522</t>
  </si>
  <si>
    <t>GF04908</t>
  </si>
  <si>
    <t>GF00096</t>
  </si>
  <si>
    <t>GF03066</t>
  </si>
  <si>
    <t>GF00452</t>
  </si>
  <si>
    <t>GF00013</t>
  </si>
  <si>
    <t>GF01224</t>
  </si>
  <si>
    <t>GF03651</t>
  </si>
  <si>
    <t>GF04728</t>
  </si>
  <si>
    <t>GF05583</t>
  </si>
  <si>
    <t>PG08943</t>
  </si>
  <si>
    <t>PG11278</t>
  </si>
  <si>
    <t>PG04200</t>
  </si>
  <si>
    <t>PG01526</t>
  </si>
  <si>
    <t>PG03767</t>
  </si>
  <si>
    <t>PG12503</t>
  </si>
  <si>
    <t>PG01531</t>
  </si>
  <si>
    <t>PG00614</t>
  </si>
  <si>
    <t>PG04258</t>
  </si>
  <si>
    <t>PG08741</t>
  </si>
  <si>
    <t>PG04594</t>
  </si>
  <si>
    <t>PG04642</t>
  </si>
  <si>
    <t>PG06426</t>
  </si>
  <si>
    <t>PG12258</t>
  </si>
  <si>
    <t>PG01195</t>
  </si>
  <si>
    <t>PG05668</t>
  </si>
  <si>
    <t>PG01432</t>
  </si>
  <si>
    <t>PG05745</t>
  </si>
  <si>
    <t>PG08042</t>
  </si>
  <si>
    <t>PG01540</t>
  </si>
  <si>
    <t>PG00407</t>
  </si>
  <si>
    <t>PG01062</t>
  </si>
  <si>
    <t>PG02104</t>
  </si>
  <si>
    <t>PG04195</t>
  </si>
  <si>
    <t>PG04379</t>
  </si>
  <si>
    <t>PG06487</t>
  </si>
  <si>
    <t>PG06904</t>
  </si>
  <si>
    <t>PG02865</t>
  </si>
  <si>
    <t>PG03492</t>
  </si>
  <si>
    <t>PG07949</t>
  </si>
  <si>
    <t>PG00268</t>
  </si>
  <si>
    <t>PG04197</t>
  </si>
  <si>
    <t>PG07592</t>
  </si>
  <si>
    <t>PG08122</t>
  </si>
  <si>
    <t>PG00382</t>
  </si>
  <si>
    <t>PG04939</t>
  </si>
  <si>
    <t>PG02303</t>
  </si>
  <si>
    <t>PG05929</t>
  </si>
  <si>
    <t>FD205</t>
  </si>
  <si>
    <t>FD208</t>
  </si>
  <si>
    <t>FD209</t>
  </si>
  <si>
    <t>FD210</t>
  </si>
  <si>
    <t>FD211</t>
  </si>
  <si>
    <t>FD213</t>
  </si>
  <si>
    <t>FD217</t>
  </si>
  <si>
    <t>FD220</t>
  </si>
  <si>
    <t>FD401</t>
  </si>
  <si>
    <t>FD412</t>
  </si>
  <si>
    <t>FD415</t>
  </si>
  <si>
    <t>FD701</t>
  </si>
  <si>
    <t>FD703</t>
  </si>
  <si>
    <t>UNLV45</t>
  </si>
  <si>
    <t>CC0023</t>
  </si>
  <si>
    <t>CC0053</t>
  </si>
  <si>
    <t>CC0056</t>
  </si>
  <si>
    <t>CC0062</t>
  </si>
  <si>
    <t>CC0066</t>
  </si>
  <si>
    <t>CC0072</t>
  </si>
  <si>
    <t>CC0100</t>
  </si>
  <si>
    <t>CC0112</t>
  </si>
  <si>
    <t>CC0116</t>
  </si>
  <si>
    <t>CC0126</t>
  </si>
  <si>
    <t>CC0128</t>
  </si>
  <si>
    <t>CC0133</t>
  </si>
  <si>
    <t>CC0140</t>
  </si>
  <si>
    <t>CC0153</t>
  </si>
  <si>
    <t>CC0156</t>
  </si>
  <si>
    <t>CC0165</t>
  </si>
  <si>
    <t>CC0178</t>
  </si>
  <si>
    <t>CC0179</t>
  </si>
  <si>
    <t>CC0190</t>
  </si>
  <si>
    <t>CC0197</t>
  </si>
  <si>
    <t>CC0215</t>
  </si>
  <si>
    <t>CC0221</t>
  </si>
  <si>
    <t>CC0274</t>
  </si>
  <si>
    <t>CC0301</t>
  </si>
  <si>
    <t>CC0341</t>
  </si>
  <si>
    <t>CC0348</t>
  </si>
  <si>
    <t>CC0352</t>
  </si>
  <si>
    <t>CC0362</t>
  </si>
  <si>
    <t>CC0376</t>
  </si>
  <si>
    <t>CC0379</t>
  </si>
  <si>
    <t>CC0380</t>
  </si>
  <si>
    <t>CC0402</t>
  </si>
  <si>
    <t>CC0407</t>
  </si>
  <si>
    <t>CC0430</t>
  </si>
  <si>
    <t>CC0446</t>
  </si>
  <si>
    <t>CC0473</t>
  </si>
  <si>
    <t>CC0482</t>
  </si>
  <si>
    <t>CC0485</t>
  </si>
  <si>
    <t>CC0492</t>
  </si>
  <si>
    <t>CC0494</t>
  </si>
  <si>
    <t>CC0505</t>
  </si>
  <si>
    <t>CC0519</t>
  </si>
  <si>
    <t>CC0520</t>
  </si>
  <si>
    <t>CC0521</t>
  </si>
  <si>
    <t>CC0541</t>
  </si>
  <si>
    <t>CC0542</t>
  </si>
  <si>
    <t>CC0569</t>
  </si>
  <si>
    <t>CC0582</t>
  </si>
  <si>
    <t>CC0618</t>
  </si>
  <si>
    <t>CC0623</t>
  </si>
  <si>
    <t>CC0631</t>
  </si>
  <si>
    <t>CC0657</t>
  </si>
  <si>
    <t>CC0659</t>
  </si>
  <si>
    <t>CC0684</t>
  </si>
  <si>
    <t>CC0687</t>
  </si>
  <si>
    <t>CC0694</t>
  </si>
  <si>
    <t>CC0704</t>
  </si>
  <si>
    <t>CC0706</t>
  </si>
  <si>
    <t>CC0745</t>
  </si>
  <si>
    <t>CC0753</t>
  </si>
  <si>
    <t>CC0795</t>
  </si>
  <si>
    <t>CC0808</t>
  </si>
  <si>
    <t>CC0813</t>
  </si>
  <si>
    <t>CC0823</t>
  </si>
  <si>
    <t>CC0830</t>
  </si>
  <si>
    <t>CC0834</t>
  </si>
  <si>
    <t>CC0837</t>
  </si>
  <si>
    <t>CC0844</t>
  </si>
  <si>
    <t>CC0868</t>
  </si>
  <si>
    <t>CC0873</t>
  </si>
  <si>
    <t>CC0876</t>
  </si>
  <si>
    <t>CC0881</t>
  </si>
  <si>
    <t>CC0887</t>
  </si>
  <si>
    <t>CC0924</t>
  </si>
  <si>
    <t>CC0928</t>
  </si>
  <si>
    <t>CC0931</t>
  </si>
  <si>
    <t>CC0933</t>
  </si>
  <si>
    <t>CC0948</t>
  </si>
  <si>
    <t>CC0966</t>
  </si>
  <si>
    <t>CC0971</t>
  </si>
  <si>
    <t>CC0977</t>
  </si>
  <si>
    <t>CC1081</t>
  </si>
  <si>
    <t>CC1084</t>
  </si>
  <si>
    <t>CC1105</t>
  </si>
  <si>
    <t>CC1191</t>
  </si>
  <si>
    <t>CC1204</t>
  </si>
  <si>
    <t>CC1212</t>
  </si>
  <si>
    <t>CC1235</t>
  </si>
  <si>
    <t>CC1237</t>
  </si>
  <si>
    <t>CC1259</t>
  </si>
  <si>
    <t>CC1295</t>
  </si>
  <si>
    <t>CC1310</t>
  </si>
  <si>
    <t>CC1394</t>
  </si>
  <si>
    <t>CC1409</t>
  </si>
  <si>
    <t>CC1418</t>
  </si>
  <si>
    <t>CC1443</t>
  </si>
  <si>
    <t>CC1498</t>
  </si>
  <si>
    <t>CC1513</t>
  </si>
  <si>
    <t>CC1521</t>
  </si>
  <si>
    <t>CC1522</t>
  </si>
  <si>
    <t>CC1530</t>
  </si>
  <si>
    <t>CC1541</t>
  </si>
  <si>
    <t>CC1551</t>
  </si>
  <si>
    <t>CC1557</t>
  </si>
  <si>
    <t>CC1561</t>
  </si>
  <si>
    <t>CC1590</t>
  </si>
  <si>
    <t>CC1618</t>
  </si>
  <si>
    <t>CC1658</t>
  </si>
  <si>
    <t>CC1673</t>
  </si>
  <si>
    <t>CC1674</t>
  </si>
  <si>
    <t>CC1677</t>
  </si>
  <si>
    <t>CC1678</t>
  </si>
  <si>
    <t>CC1703</t>
  </si>
  <si>
    <t>CC1790</t>
  </si>
  <si>
    <t>CC1811</t>
  </si>
  <si>
    <t>CC1834</t>
  </si>
  <si>
    <t>CC1841</t>
  </si>
  <si>
    <t>CC1865</t>
  </si>
  <si>
    <t>CC1880</t>
  </si>
  <si>
    <t>CC1941</t>
  </si>
  <si>
    <t>CC1966</t>
  </si>
  <si>
    <t>CC1967</t>
  </si>
  <si>
    <t>CC1971</t>
  </si>
  <si>
    <t>CC1974</t>
  </si>
  <si>
    <t>CC1977</t>
  </si>
  <si>
    <t>CC2021</t>
  </si>
  <si>
    <t>CC2041</t>
  </si>
  <si>
    <t>CC2054</t>
  </si>
  <si>
    <t>CC2065</t>
  </si>
  <si>
    <t>CC2069</t>
  </si>
  <si>
    <t>CC2096</t>
  </si>
  <si>
    <t>CC2116</t>
  </si>
  <si>
    <t>CC2126</t>
  </si>
  <si>
    <t>CC2141</t>
  </si>
  <si>
    <t>CC2165</t>
  </si>
  <si>
    <t>CC2172</t>
  </si>
  <si>
    <t>CC2182</t>
  </si>
  <si>
    <t>CC2213</t>
  </si>
  <si>
    <t>CC2235</t>
  </si>
  <si>
    <t>CC2241</t>
  </si>
  <si>
    <t>CC2244</t>
  </si>
  <si>
    <t>CC2245</t>
  </si>
  <si>
    <t>CC2285</t>
  </si>
  <si>
    <t>CC2295</t>
  </si>
  <si>
    <t>CC2334</t>
  </si>
  <si>
    <t>CC2347</t>
  </si>
  <si>
    <t>CC2367</t>
  </si>
  <si>
    <t>CC2371</t>
  </si>
  <si>
    <t>CC0076</t>
  </si>
  <si>
    <t>CC0169</t>
  </si>
  <si>
    <t>CC0324</t>
  </si>
  <si>
    <t>CC0743</t>
  </si>
  <si>
    <t>CC0863</t>
  </si>
  <si>
    <t>CC0923</t>
  </si>
  <si>
    <t>CC1029</t>
  </si>
  <si>
    <t>CC1161</t>
  </si>
  <si>
    <t>CC1352</t>
  </si>
  <si>
    <t>CC1558</t>
  </si>
  <si>
    <t>CC1758</t>
  </si>
  <si>
    <t>CC1791</t>
  </si>
  <si>
    <t>CC2156</t>
  </si>
  <si>
    <t>CC2189</t>
  </si>
  <si>
    <t>CC1408</t>
  </si>
  <si>
    <t>CC0712</t>
  </si>
  <si>
    <t>CC1118</t>
  </si>
  <si>
    <t>CC0598</t>
  </si>
  <si>
    <t>CC1222</t>
  </si>
  <si>
    <t>CC0073</t>
  </si>
  <si>
    <t>CC1059</t>
  </si>
  <si>
    <t>CC1170</t>
  </si>
  <si>
    <t>CC0083</t>
  </si>
  <si>
    <t>CC0601</t>
  </si>
  <si>
    <t>CC1398</t>
  </si>
  <si>
    <t>CC1518</t>
  </si>
  <si>
    <t>CC1529</t>
  </si>
  <si>
    <t>CC1546</t>
  </si>
  <si>
    <t>CC1734</t>
  </si>
  <si>
    <t>CC2098</t>
  </si>
  <si>
    <t>CC0776</t>
  </si>
  <si>
    <t>CC0981</t>
  </si>
  <si>
    <t>CC2150</t>
  </si>
  <si>
    <t>CC0008</t>
  </si>
  <si>
    <t>CC0033</t>
  </si>
  <si>
    <t>CC0097</t>
  </si>
  <si>
    <t>CC0218</t>
  </si>
  <si>
    <t>CC0590</t>
  </si>
  <si>
    <t>CC0666</t>
  </si>
  <si>
    <t>CC0889</t>
  </si>
  <si>
    <t>CC0991</t>
  </si>
  <si>
    <t>CC1124</t>
  </si>
  <si>
    <t>CC1387</t>
  </si>
  <si>
    <t>CC1425</t>
  </si>
  <si>
    <t>CC1793</t>
  </si>
  <si>
    <t>CC1884</t>
  </si>
  <si>
    <t>CC2053</t>
  </si>
  <si>
    <t>CC2223</t>
  </si>
  <si>
    <t>CC2365</t>
  </si>
  <si>
    <t>CC2008</t>
  </si>
  <si>
    <t>CC0115</t>
  </si>
  <si>
    <t>CC0651</t>
  </si>
  <si>
    <t>CC0839</t>
  </si>
  <si>
    <t>CC1695</t>
  </si>
  <si>
    <t>CC2300</t>
  </si>
  <si>
    <t>CC2301</t>
  </si>
  <si>
    <t>CC2302</t>
  </si>
  <si>
    <t>CC2303</t>
  </si>
  <si>
    <t>University Marketing and Communications</t>
  </si>
  <si>
    <t>International Gaming Institute</t>
  </si>
  <si>
    <t>Univ Wide-Institutional Priorities</t>
  </si>
  <si>
    <t>International Education</t>
  </si>
  <si>
    <t>Office of Undergraduate Research</t>
  </si>
  <si>
    <t>Center for Health Information Analysis</t>
  </si>
  <si>
    <t>Communication Studies</t>
  </si>
  <si>
    <t>Hotel College Faculty Support</t>
  </si>
  <si>
    <t>Museum and Art Galleries</t>
  </si>
  <si>
    <t>English Department</t>
  </si>
  <si>
    <t>Business School Faculty Support</t>
  </si>
  <si>
    <t>Graduate College Dean Administration</t>
  </si>
  <si>
    <t>Controller Operations</t>
  </si>
  <si>
    <t>Honors College Dean Administration</t>
  </si>
  <si>
    <t>Writing Center</t>
  </si>
  <si>
    <t>Office Of Economic Development</t>
  </si>
  <si>
    <t>Business School Dean Administration</t>
  </si>
  <si>
    <t>Campus Life Administration</t>
  </si>
  <si>
    <t>Animal Care</t>
  </si>
  <si>
    <t>Undergraduate Admissions</t>
  </si>
  <si>
    <t>Community Health Sciences Faculty Support</t>
  </si>
  <si>
    <t>Southern Nevada Writing Project</t>
  </si>
  <si>
    <t>Kinesiology and Nutrition Sciences</t>
  </si>
  <si>
    <t>Hotel College Alumni and Special Events</t>
  </si>
  <si>
    <t>Hotel College Dean Administration</t>
  </si>
  <si>
    <t>Office of Diversity initiatives</t>
  </si>
  <si>
    <t>Business School Instruction</t>
  </si>
  <si>
    <t>Educational Outreach Instruction</t>
  </si>
  <si>
    <t>Administrative Services</t>
  </si>
  <si>
    <t>International Center for Gaming Regulation</t>
  </si>
  <si>
    <t>School of Architecture</t>
  </si>
  <si>
    <t>Education Dean Administration</t>
  </si>
  <si>
    <t>FA Scholarships and Fellowships</t>
  </si>
  <si>
    <t>Information Technology Operations</t>
  </si>
  <si>
    <t>Teaching and Learning</t>
  </si>
  <si>
    <t>Urban Affairs Dean Administration</t>
  </si>
  <si>
    <t>Dental Student Services</t>
  </si>
  <si>
    <t>Law Dean Administration</t>
  </si>
  <si>
    <t>Graduate College Instruction</t>
  </si>
  <si>
    <t>Physical Therapy</t>
  </si>
  <si>
    <t>Foundation/Development Office</t>
  </si>
  <si>
    <t>PLUS Center</t>
  </si>
  <si>
    <t>Risk Management Adminisration</t>
  </si>
  <si>
    <t>Theatre Arts Department</t>
  </si>
  <si>
    <t>Sciences Dean Administration</t>
  </si>
  <si>
    <t>Engineering Faculty Support</t>
  </si>
  <si>
    <t>Liberal Arts Dean Administration</t>
  </si>
  <si>
    <t>General Counsel Administration</t>
  </si>
  <si>
    <t>NIPM NV Institute of Personalized Medicine</t>
  </si>
  <si>
    <t>Dental Dean Administration</t>
  </si>
  <si>
    <t>Rebel Girls Dance Team</t>
  </si>
  <si>
    <t>Engineering Dean Administration</t>
  </si>
  <si>
    <t>Physics and Astronomy Department</t>
  </si>
  <si>
    <t>Educational and Clinical Studies</t>
  </si>
  <si>
    <t>Interdisciplinary Programs</t>
  </si>
  <si>
    <t>Science and Engineering Building</t>
  </si>
  <si>
    <t>Business School Graduate Studies</t>
  </si>
  <si>
    <t>VP for Research and Economic Development</t>
  </si>
  <si>
    <t>Hotel College Operations</t>
  </si>
  <si>
    <t>Reprographics/Design Services</t>
  </si>
  <si>
    <t>History Department</t>
  </si>
  <si>
    <t>Human Resources Operations</t>
  </si>
  <si>
    <t>Wellness and Recreation</t>
  </si>
  <si>
    <t>Libraries Dean Administration</t>
  </si>
  <si>
    <t>Educational Outreach Administration</t>
  </si>
  <si>
    <t>Medical School Dean Administration</t>
  </si>
  <si>
    <t>Psychology Department</t>
  </si>
  <si>
    <t>Educational Psychology and Higher Education</t>
  </si>
  <si>
    <t>Anthropology Department</t>
  </si>
  <si>
    <t>Library Operations</t>
  </si>
  <si>
    <t>Academic Affairs Administration</t>
  </si>
  <si>
    <t>Performing Arts Center</t>
  </si>
  <si>
    <t>Chemistry Department</t>
  </si>
  <si>
    <t>Osher Lifelong Learning Institute OLLI</t>
  </si>
  <si>
    <t>Research Integrity Office</t>
  </si>
  <si>
    <t>Student Engagement and Diversity</t>
  </si>
  <si>
    <t>Provost Administration</t>
  </si>
  <si>
    <t>School of Life Sciences</t>
  </si>
  <si>
    <t>Faculty Opportunity Awards</t>
  </si>
  <si>
    <t>Alumni Relations</t>
  </si>
  <si>
    <t>World Languages and Cultures</t>
  </si>
  <si>
    <t>NV Business Hall of Fame</t>
  </si>
  <si>
    <t>International Studies-Scholarships and Fellowships</t>
  </si>
  <si>
    <t>Integrate 2 Support-Information Technology</t>
  </si>
  <si>
    <t>Fine and Performing Arts Dean Administration</t>
  </si>
  <si>
    <t>Law Instruction</t>
  </si>
  <si>
    <t>Nursing Instruction</t>
  </si>
  <si>
    <t>Career Services</t>
  </si>
  <si>
    <t>Educational Outreach Operations</t>
  </si>
  <si>
    <t>Center For Entrepreneurship</t>
  </si>
  <si>
    <t>Sponsored Programs Administration</t>
  </si>
  <si>
    <t>Financial Aid Administration</t>
  </si>
  <si>
    <t>Facilities Management Operations</t>
  </si>
  <si>
    <t>Journalism and Media Studies</t>
  </si>
  <si>
    <t>Student Affairs Maintenance</t>
  </si>
  <si>
    <t>Integrate 2 Support-Finance and Business</t>
  </si>
  <si>
    <t>Black Mountain Institute</t>
  </si>
  <si>
    <t>Academic Success Dean Administration</t>
  </si>
  <si>
    <t>Pro Golf Management</t>
  </si>
  <si>
    <t>Medical Instruction</t>
  </si>
  <si>
    <t>Planning and Construction Administration</t>
  </si>
  <si>
    <t>Public Policy and Leadership</t>
  </si>
  <si>
    <t>Student Affairs Administration</t>
  </si>
  <si>
    <t>Sociology Department</t>
  </si>
  <si>
    <t>Mathematics Department</t>
  </si>
  <si>
    <t>Governmental Affairs Office</t>
  </si>
  <si>
    <t>Dental Instruction</t>
  </si>
  <si>
    <t>Political Science Department</t>
  </si>
  <si>
    <t>Orientation and Parent Programs</t>
  </si>
  <si>
    <t>Criminal Justice</t>
  </si>
  <si>
    <t>Public Safety</t>
  </si>
  <si>
    <t>President's Office-Administration</t>
  </si>
  <si>
    <t>Graduate and Professional Student Association</t>
  </si>
  <si>
    <t>Real Estate Management</t>
  </si>
  <si>
    <t>Preschool</t>
  </si>
  <si>
    <t>Law Library</t>
  </si>
  <si>
    <t>Graduate College-Scholarships and Fellowships</t>
  </si>
  <si>
    <t>Music Department</t>
  </si>
  <si>
    <t>Hotel College Graduate Studies</t>
  </si>
  <si>
    <t>Police Operations</t>
  </si>
  <si>
    <t>Lied Institute For Real Estate Studies</t>
  </si>
  <si>
    <t>Enrollment Management</t>
  </si>
  <si>
    <t>Finance and Business Administration Business Affairs</t>
  </si>
  <si>
    <t>Marriage and Family Therapy</t>
  </si>
  <si>
    <t>Social Work</t>
  </si>
  <si>
    <t>Office of Decision Support</t>
  </si>
  <si>
    <t>Engineering Instruction</t>
  </si>
  <si>
    <t>Law Scholarships and Fellowships</t>
  </si>
  <si>
    <t>English Language Center</t>
  </si>
  <si>
    <t>Geoscience Department</t>
  </si>
  <si>
    <t>Nursing Dean Administration</t>
  </si>
  <si>
    <t>Medical School Research</t>
  </si>
  <si>
    <t>Rebel Card Operations</t>
  </si>
  <si>
    <t>Counselor Education, School Psychology, and Human Services (CSH)</t>
  </si>
  <si>
    <t>Delivery Services</t>
  </si>
  <si>
    <t>Southern Command</t>
  </si>
  <si>
    <t>CAEO Non-Grant</t>
  </si>
  <si>
    <t>Health Physics and Diagnostic Sciences</t>
  </si>
  <si>
    <t>Transportation Research Center</t>
  </si>
  <si>
    <t>Allied Health Sciences Dean Administration</t>
  </si>
  <si>
    <t>Community Health Sciences Dean Administration</t>
  </si>
  <si>
    <t>Public Lands Institute</t>
  </si>
  <si>
    <t>Environmental and Occupational Health</t>
  </si>
  <si>
    <t>National Supercomputing Center</t>
  </si>
  <si>
    <t>Harry Reid Building</t>
  </si>
  <si>
    <t>Computer Science</t>
  </si>
  <si>
    <t>Center For Business and Econ Research</t>
  </si>
  <si>
    <t>Civil and Environmental Engineering and Construction</t>
  </si>
  <si>
    <t>Electrical and Computer Engineering</t>
  </si>
  <si>
    <t>Mechanical Engineering</t>
  </si>
  <si>
    <t>Dental Faculty Practice</t>
  </si>
  <si>
    <t>Provost Instruction</t>
  </si>
  <si>
    <t>Univ Wide-Revenue Activity</t>
  </si>
  <si>
    <t>Dental Scholarships and Fellowships</t>
  </si>
  <si>
    <t>Medical-Scholarships and Fellowships</t>
  </si>
  <si>
    <t>Fine and Performing Arts Instruction</t>
  </si>
  <si>
    <t>Health Care Admin and Policy</t>
  </si>
  <si>
    <t>College of Education-Instruction</t>
  </si>
  <si>
    <t>Honors College Instruction</t>
  </si>
  <si>
    <t>Hotel College Instruction</t>
  </si>
  <si>
    <t>Student Wellness Operations</t>
  </si>
  <si>
    <t>International Student Services</t>
  </si>
  <si>
    <t>Institutional Projects-Institutional Programs</t>
  </si>
  <si>
    <t>Information Technology Dean Administration</t>
  </si>
  <si>
    <t>CSUN Administration</t>
  </si>
  <si>
    <t>Medical Student Services</t>
  </si>
  <si>
    <t>Endowment</t>
  </si>
  <si>
    <t>President's Office-Special Projects</t>
  </si>
  <si>
    <t>Lincy Brookings</t>
  </si>
  <si>
    <t>Womens Research Institute</t>
  </si>
  <si>
    <t>Center for Gaming Innovation</t>
  </si>
  <si>
    <t>VP Marketing and Branding</t>
  </si>
  <si>
    <t>Law Clinic</t>
  </si>
  <si>
    <t>Film Department</t>
  </si>
  <si>
    <t>Law Faculty Support</t>
  </si>
  <si>
    <t>Liberal Arts Advising Center</t>
  </si>
  <si>
    <t>Student Services</t>
  </si>
  <si>
    <t>Hotel College Career Services and Internships</t>
  </si>
  <si>
    <t>KUNV Radio Station</t>
  </si>
  <si>
    <t>The UNLV Scarlet and Gray Free Press</t>
  </si>
  <si>
    <t>Engineering Grants and Contracts</t>
  </si>
  <si>
    <t>Health Services Operations</t>
  </si>
  <si>
    <t>Residential Life Operations</t>
  </si>
  <si>
    <t>UNLV Foundations</t>
  </si>
  <si>
    <t>Student Union and Event Services</t>
  </si>
  <si>
    <t>TMC Facility Operations</t>
  </si>
  <si>
    <t>Rodeo Program</t>
  </si>
  <si>
    <t>TMC-Administration</t>
  </si>
  <si>
    <t>TMC- Other Event Services</t>
  </si>
  <si>
    <t>TMC Front of House Activities</t>
  </si>
  <si>
    <t>TMC Back of House Activities</t>
  </si>
  <si>
    <t>TMC Ticketing</t>
  </si>
  <si>
    <t>TMC Food and Beverage Operations</t>
  </si>
  <si>
    <t>Athletics</t>
  </si>
  <si>
    <t>Integrated Marketing Creative Services</t>
  </si>
  <si>
    <t>INTL GAMING CONFERENCE</t>
  </si>
  <si>
    <t>GAMING INSTITUTE</t>
  </si>
  <si>
    <t>Presidential Recruitment</t>
  </si>
  <si>
    <t>Central Legal Expenses</t>
  </si>
  <si>
    <t>Usac Administrative Support</t>
  </si>
  <si>
    <t>Office Of Ug Research &amp; Schp</t>
  </si>
  <si>
    <t>Ctr For Health Info Reports</t>
  </si>
  <si>
    <t>Debate Camp &amp; Tournament</t>
  </si>
  <si>
    <t>Urban Affairs Com Studies Summ</t>
  </si>
  <si>
    <t>Sports Information</t>
  </si>
  <si>
    <t>Communications</t>
  </si>
  <si>
    <t>Hotel Mgt Faculty Development</t>
  </si>
  <si>
    <t>UNLV Womens Basketball</t>
  </si>
  <si>
    <t>Barrick Museum Operations</t>
  </si>
  <si>
    <t>UNLV Football</t>
  </si>
  <si>
    <t>NCAA Assistance</t>
  </si>
  <si>
    <t>English Dept Travel</t>
  </si>
  <si>
    <t>ENGLISH GENERAL</t>
  </si>
  <si>
    <t>Dean Business Faculty Dev Supt</t>
  </si>
  <si>
    <t>Grad Orientation/Prof Dev Fee</t>
  </si>
  <si>
    <t>Graduate College Salaries</t>
  </si>
  <si>
    <t>Graduate Credential Eval Fee</t>
  </si>
  <si>
    <t>Workday Support Team</t>
  </si>
  <si>
    <t>Integrate 2 Support Controller (inactive)</t>
  </si>
  <si>
    <t>UNLV Deferred Payment Fee</t>
  </si>
  <si>
    <t>HONORS COLLEGE - SUPPORT</t>
  </si>
  <si>
    <t>ENGLISH LANGUAGE CENTER - Ending FY19 (inactive)</t>
  </si>
  <si>
    <t>Royalty Income</t>
  </si>
  <si>
    <t>Cob Summer Term Allocation</t>
  </si>
  <si>
    <t>Basketball-Mens</t>
  </si>
  <si>
    <t>Womens Tennis</t>
  </si>
  <si>
    <t>UNLV Volleyball</t>
  </si>
  <si>
    <t>Cross Country</t>
  </si>
  <si>
    <t>Women's Golf</t>
  </si>
  <si>
    <t>Women's Soccer</t>
  </si>
  <si>
    <t>Women's Track</t>
  </si>
  <si>
    <t>Womens Softball</t>
  </si>
  <si>
    <t>Womens Swimming</t>
  </si>
  <si>
    <t>CAMPUS LIFE TECHNOLOGY</t>
  </si>
  <si>
    <t>Animal Care Services</t>
  </si>
  <si>
    <t>Office Ugrad Rec Cred File Fee</t>
  </si>
  <si>
    <t>Admissions Early Outreach Program</t>
  </si>
  <si>
    <t>Golf</t>
  </si>
  <si>
    <t>Tennis</t>
  </si>
  <si>
    <t>UNLV Baseball</t>
  </si>
  <si>
    <t>Swimming-Mens</t>
  </si>
  <si>
    <t>UNLV Soccer</t>
  </si>
  <si>
    <t>Start-Up Sch Comm Hlth Sci</t>
  </si>
  <si>
    <t>Start Up Ezeanolue (inactive)</t>
  </si>
  <si>
    <t>UNLV Sports Medicine</t>
  </si>
  <si>
    <t>Other Sport Game Operations</t>
  </si>
  <si>
    <t>Strength And Conditioning</t>
  </si>
  <si>
    <t>Athletic Video</t>
  </si>
  <si>
    <t>UNLV Equipment</t>
  </si>
  <si>
    <t>Cheerleaders</t>
  </si>
  <si>
    <t>POM</t>
  </si>
  <si>
    <t>Southern NV Writing Project</t>
  </si>
  <si>
    <t>KINESIOLOGY &amp;NUTRITION SCIENCE</t>
  </si>
  <si>
    <t>Hotel Col Jerry Vallen Dinner</t>
  </si>
  <si>
    <t>Chef Artist Series (inactive)</t>
  </si>
  <si>
    <t>Dean Hotel College</t>
  </si>
  <si>
    <t>Unlv Hotel-Singapore</t>
  </si>
  <si>
    <t>Hospitality Café</t>
  </si>
  <si>
    <t>Vp Diversity</t>
  </si>
  <si>
    <t>College of Business Online Ed Faculty Fellowship</t>
  </si>
  <si>
    <t>Ed Outreach Road Scholar (inactive)</t>
  </si>
  <si>
    <t>Ed Outreach Non-Credit Courses</t>
  </si>
  <si>
    <t>Ed Outrch Dietetic Intern Prog</t>
  </si>
  <si>
    <t>Property &amp; Inventory</t>
  </si>
  <si>
    <t>Telecommunications Services</t>
  </si>
  <si>
    <t>Regulatory Center Operations</t>
  </si>
  <si>
    <t>Computer Lab Plotters</t>
  </si>
  <si>
    <t>Col Educ Development</t>
  </si>
  <si>
    <t>Col Of Education Testing Centr</t>
  </si>
  <si>
    <t>Summer Session Scholarship Ending - FY19 (inactive)</t>
  </si>
  <si>
    <t>Study Abroad Scholarship</t>
  </si>
  <si>
    <t>OIT Campus Repairs &amp; Parts</t>
  </si>
  <si>
    <t>Server Support Services</t>
  </si>
  <si>
    <t>OIT Network Services</t>
  </si>
  <si>
    <t>OIT Miscellaneous Projects</t>
  </si>
  <si>
    <t>Curriculum &amp; Instr Faculty Dev</t>
  </si>
  <si>
    <t>Urban Leadership Fac Dev</t>
  </si>
  <si>
    <t>Start Up Ulmer</t>
  </si>
  <si>
    <t>Exec Ms Crisis &amp; Emerg Mgmt - Ending FY19</t>
  </si>
  <si>
    <t>Urban Affairs Faculty Dev</t>
  </si>
  <si>
    <t>Dental Predoc Deposit</t>
  </si>
  <si>
    <t>Tuition Deposit Fee-Law - Ending FY19 (inactive)</t>
  </si>
  <si>
    <t>Law Misc Activities</t>
  </si>
  <si>
    <t>Gaming Law Journal - Ending FY19 (inactive)</t>
  </si>
  <si>
    <t>Law Activity &amp; Program</t>
  </si>
  <si>
    <t>Law Faculty Development and Travel</t>
  </si>
  <si>
    <t>Summer Grad Asst</t>
  </si>
  <si>
    <t>Physical Therapy Sales</t>
  </si>
  <si>
    <t>UNLV Capital Campaign - Ending FY19</t>
  </si>
  <si>
    <t>Foundation Endowment Mgt Fee - Ending FY19 (inactive)</t>
  </si>
  <si>
    <t>Prof &amp; Leadership Studies</t>
  </si>
  <si>
    <t>Osha And Fire Safety</t>
  </si>
  <si>
    <t>CHIMERA Sales</t>
  </si>
  <si>
    <t>UNLV Radiation Safety</t>
  </si>
  <si>
    <t>Risk Management &amp; Safety</t>
  </si>
  <si>
    <t>Theatre Season</t>
  </si>
  <si>
    <t>Nv Conservatory Theatre Income</t>
  </si>
  <si>
    <t>Start Up Boo Shan Tseng</t>
  </si>
  <si>
    <t>START UP CHRONISTER, ERIC</t>
  </si>
  <si>
    <t>Start Up J Yang</t>
  </si>
  <si>
    <t>Start Up Zhan</t>
  </si>
  <si>
    <t>Start Up Sj Kim</t>
  </si>
  <si>
    <t>Start Up Ke-Xun Sun</t>
  </si>
  <si>
    <t>Start-Up Oh</t>
  </si>
  <si>
    <t>Start Up Nasoz (inactive)</t>
  </si>
  <si>
    <t>Start Up Harris</t>
  </si>
  <si>
    <t>Start Up Gerrity (inactive)</t>
  </si>
  <si>
    <t>Start Up Kim</t>
  </si>
  <si>
    <t>Start Up Bansal (inactive)</t>
  </si>
  <si>
    <t>Start Up Moon</t>
  </si>
  <si>
    <t>START UP SHERMAN, RYAN</t>
  </si>
  <si>
    <t>START UP CHOI,JIN OUK</t>
  </si>
  <si>
    <t>Start up Eakalak Khan</t>
  </si>
  <si>
    <t>Start Up Mojdeh Asadollahipajouh</t>
  </si>
  <si>
    <t>Liberal Arts Extended Educ</t>
  </si>
  <si>
    <t>UNLV General Counsel Self-Supporting</t>
  </si>
  <si>
    <t>Start Up Qing Wu</t>
  </si>
  <si>
    <t>Start Up Xiangning Chen (inactive)</t>
  </si>
  <si>
    <t>START UP OH, EDWIN</t>
  </si>
  <si>
    <t>Dentistry-General Services</t>
  </si>
  <si>
    <t>DANCE YOUTH PROGRAM</t>
  </si>
  <si>
    <t>Engineering Summer Session</t>
  </si>
  <si>
    <t>Col Of Eng Dept Support</t>
  </si>
  <si>
    <t>START UP MARTI, ERICA</t>
  </si>
  <si>
    <t>START UP PARK, JEE</t>
  </si>
  <si>
    <t>Scf Physics Lab - Ending FY19 (inactive)</t>
  </si>
  <si>
    <t>Start Up Salamat, Ashkan</t>
  </si>
  <si>
    <t>Start Up R Martin</t>
  </si>
  <si>
    <t>Start Up Steffen</t>
  </si>
  <si>
    <t>START UP ZHU, ZHAOHUAN</t>
  </si>
  <si>
    <t>START UP ZHU, QIANG</t>
  </si>
  <si>
    <t>Mental Health Training Clinic</t>
  </si>
  <si>
    <t>Col Educ Ctr For Autism Clinic</t>
  </si>
  <si>
    <t>Educ Professional Development</t>
  </si>
  <si>
    <t>Idp Asian Studies Forum</t>
  </si>
  <si>
    <t>INTERDISCIPLINARY PROGRAMS 611G</t>
  </si>
  <si>
    <t>Machine Shop Sci Eng Bldg</t>
  </si>
  <si>
    <t>Emba Program</t>
  </si>
  <si>
    <t>Mba Orientation</t>
  </si>
  <si>
    <t>START UP NASIAK, MICHAEL (inactive)</t>
  </si>
  <si>
    <t>Hotel Col Stan Fulton Events</t>
  </si>
  <si>
    <t>Hotel Kitchen Program Support</t>
  </si>
  <si>
    <t>Integrated Graphics Services</t>
  </si>
  <si>
    <t>University Digital Printing Equipment</t>
  </si>
  <si>
    <t>History Dept Travel</t>
  </si>
  <si>
    <t>HISTORY DEPARTMENT (UNLV)</t>
  </si>
  <si>
    <t>Integrate 2 Support Hr (inactive)</t>
  </si>
  <si>
    <t>Campus Recreational Services</t>
  </si>
  <si>
    <t>Library Staff Development</t>
  </si>
  <si>
    <t>Dept Conference &amp; Programs</t>
  </si>
  <si>
    <t>Unlv Medical School Planning</t>
  </si>
  <si>
    <t>ACKERMAN CENTER FOR AUTISM (inactive)</t>
  </si>
  <si>
    <t>UNLVSOM Medical Ed Transition Southern Nevada</t>
  </si>
  <si>
    <t>UNLVSOM FPP REIMB ADMIN</t>
  </si>
  <si>
    <t>UNLVSOM UMC MISSION SUPPORT</t>
  </si>
  <si>
    <t>Psychology Sales</t>
  </si>
  <si>
    <t>Psychology Dept Travel</t>
  </si>
  <si>
    <t>Psychology Start-Up Costs</t>
  </si>
  <si>
    <t>Assoc For Study Of Higher Ed</t>
  </si>
  <si>
    <t>Col Educ Psychology Dept Sup</t>
  </si>
  <si>
    <t>Unlv Ctr For Eval &amp; Assessment</t>
  </si>
  <si>
    <t>Anthropology Start-Up Costs</t>
  </si>
  <si>
    <t>Anthropology Dept Faculty Trav</t>
  </si>
  <si>
    <t>Cooperative Resources (inactive)</t>
  </si>
  <si>
    <t>Library Systems And Support</t>
  </si>
  <si>
    <t>Student Fees-Library</t>
  </si>
  <si>
    <t>UNLV Library Fines</t>
  </si>
  <si>
    <t>Library Sales-Spec Collections</t>
  </si>
  <si>
    <t>Unlv Academic Advising</t>
  </si>
  <si>
    <t>Master Series Ii</t>
  </si>
  <si>
    <t>Performing Arts Center Support</t>
  </si>
  <si>
    <t>Dong-Chan Lee-Start Up</t>
  </si>
  <si>
    <t>Col Of Sci Chemistry Start Up</t>
  </si>
  <si>
    <t>Chemistry Faculty Development</t>
  </si>
  <si>
    <t>Start Up Hong Sun</t>
  </si>
  <si>
    <t>Start Up Kleiger (inactive)</t>
  </si>
  <si>
    <t>Start-Up Orgill</t>
  </si>
  <si>
    <t>Start Up Zhang (inactive)</t>
  </si>
  <si>
    <t>Start Up Kang</t>
  </si>
  <si>
    <t>Paul Forster-Start Up</t>
  </si>
  <si>
    <t>Start Up Poineau</t>
  </si>
  <si>
    <t>Start Up Gelis, Art</t>
  </si>
  <si>
    <t>Ed Outrch Lifelong Lrning Ctr</t>
  </si>
  <si>
    <t>Protection Of Research Subject</t>
  </si>
  <si>
    <t>Research Service Support</t>
  </si>
  <si>
    <t>Student Diversity and Social Justice</t>
  </si>
  <si>
    <t>Start Up Caracol Research</t>
  </si>
  <si>
    <t>Evp &amp; P Faculty Development</t>
  </si>
  <si>
    <t>Biology Sci Summer Funds</t>
  </si>
  <si>
    <t>Biology Stockroom Operations</t>
  </si>
  <si>
    <t>Start Up Han</t>
  </si>
  <si>
    <t>Start Up Tsourkas</t>
  </si>
  <si>
    <t>Evolutionary Biology Lab</t>
  </si>
  <si>
    <t>Raftery Start Up</t>
  </si>
  <si>
    <t>Start Up Tseng</t>
  </si>
  <si>
    <t>Start Up Caberoy</t>
  </si>
  <si>
    <t>Start Up Abella</t>
  </si>
  <si>
    <t>Wing-Start-Up (inactive)</t>
  </si>
  <si>
    <t>START UP STACY, ELIZABETH</t>
  </si>
  <si>
    <t>START UP PRICE, DONALD</t>
  </si>
  <si>
    <t>Aquatic Biology Program Endowment</t>
  </si>
  <si>
    <t>Start Up Weng, Mo</t>
  </si>
  <si>
    <t>ICA Grounds/Facilities Overage</t>
  </si>
  <si>
    <t>FOA 16-SCHIZOPHRENIA &amp; AID (inactive)</t>
  </si>
  <si>
    <t>FOA 16-CTR FOR MIG-DEM-POP (inactive)</t>
  </si>
  <si>
    <t>FOA 16-FUEL CELL BACTERIA DROP (inactive)</t>
  </si>
  <si>
    <t>FOA 16-APPLIED SC FOR ASTROPHY (inactive)</t>
  </si>
  <si>
    <t>FOA 16-THIN FILM PVD (inactive)</t>
  </si>
  <si>
    <t>FOA 16-CELL INTERACTION MODELS (inactive)</t>
  </si>
  <si>
    <t>Alumni Center Rental - Ending FY19</t>
  </si>
  <si>
    <t>World Languages &amp; Cltrs Travel</t>
  </si>
  <si>
    <t>Business Hall Of Fame</t>
  </si>
  <si>
    <t>Study Abroad Scholarship - Ending FY18 (inactive)</t>
  </si>
  <si>
    <t>Integrate 2 Support OIT</t>
  </si>
  <si>
    <t>Fine Arts Summer Session</t>
  </si>
  <si>
    <t>Col Fine Arts Searches</t>
  </si>
  <si>
    <t>Law School-Summer</t>
  </si>
  <si>
    <t>Law Instructional Support</t>
  </si>
  <si>
    <t>Gaming Law &amp; Regulation Ll.M.</t>
  </si>
  <si>
    <t>School OF NURSING-FACULTY AWARDS</t>
  </si>
  <si>
    <t>Student Employer Relations - Ending FY19</t>
  </si>
  <si>
    <t>Ed Outreach Credit Courses</t>
  </si>
  <si>
    <t>Ed Outreach Marketing</t>
  </si>
  <si>
    <t>Ed Outreach Operations</t>
  </si>
  <si>
    <t>Cannon Survey Center</t>
  </si>
  <si>
    <t>Bus E-Center Non Credit Certs</t>
  </si>
  <si>
    <t>Sponsored Programs Operations</t>
  </si>
  <si>
    <t>Integrate 2 Support Osp</t>
  </si>
  <si>
    <t>Financial Aid Admin Support</t>
  </si>
  <si>
    <t>System Comp Svs Bldg Maint</t>
  </si>
  <si>
    <t>Vehicle Repair Services</t>
  </si>
  <si>
    <t>Facilities Maint Non-Core</t>
  </si>
  <si>
    <t>Rebel Recycling</t>
  </si>
  <si>
    <t>Shadow Lane Campus Maintenance</t>
  </si>
  <si>
    <t>Flamingo Auxiliary Bldg Maint</t>
  </si>
  <si>
    <t>Facilities Sales</t>
  </si>
  <si>
    <t>Epa Janitorial Services</t>
  </si>
  <si>
    <t>Epa Maintenance</t>
  </si>
  <si>
    <t>Facilities Operations</t>
  </si>
  <si>
    <t>1707 W Charleston Building Maintenance</t>
  </si>
  <si>
    <t>Cable Channel Account</t>
  </si>
  <si>
    <t>Student Affairs Bldg Maint</t>
  </si>
  <si>
    <t>Integrate Support</t>
  </si>
  <si>
    <t>Integrate 2 Nshe One Time (inactive)</t>
  </si>
  <si>
    <t>Athletic Administration</t>
  </si>
  <si>
    <t>Donor Services</t>
  </si>
  <si>
    <t>Black Mountain Institute other</t>
  </si>
  <si>
    <t>BELIEVER MAGAZINE</t>
  </si>
  <si>
    <t>Academic Success Ctr Operating</t>
  </si>
  <si>
    <t>Academic Success Center Support</t>
  </si>
  <si>
    <t>Pro Golf Mgt Program Support</t>
  </si>
  <si>
    <t>UNLVSOM TRANSITION GME TEACH</t>
  </si>
  <si>
    <t>UNLVSOM GME BILLING SUNRISE</t>
  </si>
  <si>
    <t>UNLVSOM GME BILLING UMC</t>
  </si>
  <si>
    <t>UNLVSOM GME BILLING VA HOSP</t>
  </si>
  <si>
    <t>UNLVSOM FPP REIMB FAMILY MED</t>
  </si>
  <si>
    <t>UNLVSOM FPP REIMB OBGYN</t>
  </si>
  <si>
    <t>UNLVSOM FPP REIMB NEUROLOGY</t>
  </si>
  <si>
    <t>UNLVSOM TRANSITION 3RD YEAR</t>
  </si>
  <si>
    <t>UNLVSOM FPP REIMB INTERNAL MED</t>
  </si>
  <si>
    <t>UNLVSOM FPP REIMB PEDIATRICS</t>
  </si>
  <si>
    <t>UNLVSOM FPP REIMB PSYCHIATRY</t>
  </si>
  <si>
    <t>UNLVSOM GME BILLING OTHER</t>
  </si>
  <si>
    <t>UNLVSOM FPP REIMB SURGERY</t>
  </si>
  <si>
    <t>UNLVSOM FPP REIMB OTOLARYN</t>
  </si>
  <si>
    <t>UNLVSOM GME BILLING HGH</t>
  </si>
  <si>
    <t>UNLVSOM GME BILLING SNAMHS</t>
  </si>
  <si>
    <t>Planning &amp; Constr Service Ctr</t>
  </si>
  <si>
    <t>Public Admin Summer Session</t>
  </si>
  <si>
    <t>Sociology Department Travel</t>
  </si>
  <si>
    <t>Math Faculty-Start Up</t>
  </si>
  <si>
    <t>Math Remedial Crs &amp; Royalties - Ending FY19 (inactive)</t>
  </si>
  <si>
    <t>Math-Bdgt Summer School</t>
  </si>
  <si>
    <t>Start Up Wu, Zhijian</t>
  </si>
  <si>
    <t>GOVERNMENT AFFAIRS</t>
  </si>
  <si>
    <t>GOVERNMENT AFFAIRS TRAVEL</t>
  </si>
  <si>
    <t>Ortho Program</t>
  </si>
  <si>
    <t>Dental Slc Student Clinic</t>
  </si>
  <si>
    <t>Dental School-Summer</t>
  </si>
  <si>
    <t>Aegd Residency Program</t>
  </si>
  <si>
    <t>Dental Continuing Educ Progrms</t>
  </si>
  <si>
    <t>Pediatric Program</t>
  </si>
  <si>
    <t>DENTAL MED - FACULTY START-UP</t>
  </si>
  <si>
    <t>Liberal Arts Political Sci C E</t>
  </si>
  <si>
    <t>Orientation &amp; Parent Programs</t>
  </si>
  <si>
    <t>Criminal Justice Faculty Development</t>
  </si>
  <si>
    <t>Criminal Justice Journal</t>
  </si>
  <si>
    <t>Public Safety Events</t>
  </si>
  <si>
    <t>Public Safety Support</t>
  </si>
  <si>
    <t>Presidents Perquisites</t>
  </si>
  <si>
    <t>President's Gift Support</t>
  </si>
  <si>
    <t>Gpsa Research</t>
  </si>
  <si>
    <t>1325 E. Flamingo Leases</t>
  </si>
  <si>
    <t>Law Library Acquisitions</t>
  </si>
  <si>
    <t>Grad Assistant Grant-In-Aid</t>
  </si>
  <si>
    <t>Orff Workshop</t>
  </si>
  <si>
    <t>Recording Studio</t>
  </si>
  <si>
    <t>Marimba Band</t>
  </si>
  <si>
    <t>Fine Arts Music Jazz Studies</t>
  </si>
  <si>
    <t>Campus Bands</t>
  </si>
  <si>
    <t>Recital Management</t>
  </si>
  <si>
    <t>Hotel Executive Masters</t>
  </si>
  <si>
    <t>Graduate Student &amp; Faculty Dev</t>
  </si>
  <si>
    <t>University Police</t>
  </si>
  <si>
    <t>Lied Inst Real Estate Studies</t>
  </si>
  <si>
    <t>Enrol Mgmt Credential File Fee</t>
  </si>
  <si>
    <t>UNLV Graduation Fees</t>
  </si>
  <si>
    <t>Business Affairs Lease Reserve</t>
  </si>
  <si>
    <t>Admin Overhead-Business Affairs</t>
  </si>
  <si>
    <t>Business Affairs Financial Aid Admin</t>
  </si>
  <si>
    <t>MS Couple &amp; Family Therapy - Ending FY19</t>
  </si>
  <si>
    <t>Urban Affairs Client Svcs Ctr - Ending FY19</t>
  </si>
  <si>
    <t>MS Couple &amp; Family Therapy - Starting FY20</t>
  </si>
  <si>
    <t>Urban Affairs Social Work Ops.</t>
  </si>
  <si>
    <t>Decision Support Prof Dev/Tr</t>
  </si>
  <si>
    <t>Col Engr Pltw Summer Seminars</t>
  </si>
  <si>
    <t>Law School Scholarship</t>
  </si>
  <si>
    <t>English Second Language Bridge Program</t>
  </si>
  <si>
    <t>Nevada Probe/Sem Lab</t>
  </si>
  <si>
    <t>Las Vegas Isotope Sci Lab-Rc</t>
  </si>
  <si>
    <t>Geoscience Motor Pool</t>
  </si>
  <si>
    <t>Hausrath Start-Up</t>
  </si>
  <si>
    <t>Start Up Huang</t>
  </si>
  <si>
    <t>Nv Isotope Geochronology Lab</t>
  </si>
  <si>
    <t>Start Up Udry</t>
  </si>
  <si>
    <t>START-UP JOWITT, SIMON</t>
  </si>
  <si>
    <t>Geoscience Cryptotephra Lab</t>
  </si>
  <si>
    <t>Start Up Bethany Coulthard</t>
  </si>
  <si>
    <t>Nursing Program Sales</t>
  </si>
  <si>
    <t>Doctor Of Nursing Support</t>
  </si>
  <si>
    <t>Sim Lab Equipment And Sales</t>
  </si>
  <si>
    <t>Workforce Innovations New Nevada</t>
  </si>
  <si>
    <t>UNLV Populations Health Training Initiative</t>
  </si>
  <si>
    <t>Start-Up Dawn Buddhadeb</t>
  </si>
  <si>
    <t>REBEL CARD OPERATIONS</t>
  </si>
  <si>
    <t>Delivery Services Postage &amp; Freight Service Center</t>
  </si>
  <si>
    <t>Student Employer Relations - Starting FY20</t>
  </si>
  <si>
    <t>Southern Command Operations</t>
  </si>
  <si>
    <t>Idcr Caeo Operations</t>
  </si>
  <si>
    <t>IDCR STEEN MADSEN</t>
  </si>
  <si>
    <t>Idcr Transportation Resrch Ctr</t>
  </si>
  <si>
    <t>IDCR Enrollment Services - Ending FY18 (inactive)</t>
  </si>
  <si>
    <t>IDCR-D COL EDUCATION</t>
  </si>
  <si>
    <t>Idcr-D Col Urban Affairs</t>
  </si>
  <si>
    <t>Idcr-D Col Science</t>
  </si>
  <si>
    <t>Idcr Pollard</t>
  </si>
  <si>
    <t>Idcr High Pressure Science and Engineering Center - Dean (inactive)</t>
  </si>
  <si>
    <t>Idcr-D Col Liberal Arts</t>
  </si>
  <si>
    <t>IDCR NV INST PERSONALIZED MED</t>
  </si>
  <si>
    <t>Idcr-D &amp; Fac Sch Al Hlth Sci</t>
  </si>
  <si>
    <t>Idcr Ctr For Energy Research</t>
  </si>
  <si>
    <t>Idcr Howard Hughes College</t>
  </si>
  <si>
    <t>IDCR DAS</t>
  </si>
  <si>
    <t>IDCR CHEN</t>
  </si>
  <si>
    <t>IDCR-D COL ENGINEERING</t>
  </si>
  <si>
    <t>Idcr Physics</t>
  </si>
  <si>
    <t>Idcr High Pressure Science and Engineering Center - Dept (inactive)</t>
  </si>
  <si>
    <t>Idcr Sci Engr Bldg Operations</t>
  </si>
  <si>
    <t>Idcr Vp Research</t>
  </si>
  <si>
    <t>Idcr-D Nv Inst Ch Res &amp; Policy</t>
  </si>
  <si>
    <t>Idcr-D Sch Comm Hlth Sci</t>
  </si>
  <si>
    <t>IDCR-Library 4% Primary</t>
  </si>
  <si>
    <t>Idcr Public Land Initiative</t>
  </si>
  <si>
    <t>Idcr V Provost Acad Affairs</t>
  </si>
  <si>
    <t>IDCR EMERGING DISEASES LAB</t>
  </si>
  <si>
    <t>IDCR ENVIRON &amp; OCCUP HLTH PROG</t>
  </si>
  <si>
    <t>Idcr Radiochemistry</t>
  </si>
  <si>
    <t>Idcr Chemistry</t>
  </si>
  <si>
    <t>Idcr Czerwinski</t>
  </si>
  <si>
    <t>Idcr Natl Supercomp Ctr</t>
  </si>
  <si>
    <t>Idcr Provost</t>
  </si>
  <si>
    <t>Idcr Jaeger</t>
  </si>
  <si>
    <t>Idcr Biology</t>
  </si>
  <si>
    <t>Idcr Hrc Building Operations</t>
  </si>
  <si>
    <t>Idcr-D &amp; Sales Col Fine Arts</t>
  </si>
  <si>
    <t>IDCR ARCHITECTURE</t>
  </si>
  <si>
    <t>Idcr Computer Science</t>
  </si>
  <si>
    <t>Idcr-D &amp; Sales Ctr Bus Ec Res</t>
  </si>
  <si>
    <t>IDCR VP Student Affairs</t>
  </si>
  <si>
    <t>Idcr Civil/Envir Engineering</t>
  </si>
  <si>
    <t>IDCR RAILROAD UTC</t>
  </si>
  <si>
    <t>UNLV President's Indirect Cost Recovery</t>
  </si>
  <si>
    <t>Idcr Electrical Engineering</t>
  </si>
  <si>
    <t>Idcr O'Toole</t>
  </si>
  <si>
    <t>Idcr Mechanical Engineering</t>
  </si>
  <si>
    <t>Idcr Geoscience</t>
  </si>
  <si>
    <t>Idcr Nursing</t>
  </si>
  <si>
    <t>IDCR-D SCH NURSING</t>
  </si>
  <si>
    <t>UNLV Dental Faculty Practice</t>
  </si>
  <si>
    <t>UNLV Summer School</t>
  </si>
  <si>
    <t>REINSTATEMENT FEE</t>
  </si>
  <si>
    <t>DEFERRED PAYMENT PLAN LATE FEE</t>
  </si>
  <si>
    <t>ACADEMIC CREDIT BY EXAM FEES</t>
  </si>
  <si>
    <t>UNLV Excess Credit Fee</t>
  </si>
  <si>
    <t>REGISTRAR CREDIT BY EXAM FEE</t>
  </si>
  <si>
    <t>UNLV Student Access - Undergraduate</t>
  </si>
  <si>
    <t>DENTAL SCHOOL STUDENT ACCESS</t>
  </si>
  <si>
    <t>UNLVSOM Student Access</t>
  </si>
  <si>
    <t>STUDENT ACCESS - GRADUATE</t>
  </si>
  <si>
    <t>LAW SCHOOL STUDENT ACCESS</t>
  </si>
  <si>
    <t>DIFF FEES GRAPHIC DESIGN</t>
  </si>
  <si>
    <t>DIFF FEES EMBA</t>
  </si>
  <si>
    <t>DIFF FEES ARCHITECTURE</t>
  </si>
  <si>
    <t>DIFF FEES URBAN LEADERSHIP</t>
  </si>
  <si>
    <t>DIFF FEES PHYS THERAPY</t>
  </si>
  <si>
    <t>DIFF FEES BUSINESS</t>
  </si>
  <si>
    <t>DIFF FEES EMHA</t>
  </si>
  <si>
    <t>Diff Fees Education Policy Leadership</t>
  </si>
  <si>
    <t>DIFF FEES NURSING</t>
  </si>
  <si>
    <t>DIFF FEES Doctor of Public Policy (DPP)</t>
  </si>
  <si>
    <t>DIFF FEES MFT - Ending FY19</t>
  </si>
  <si>
    <t>DIFF FEES MFT - Starting FY20</t>
  </si>
  <si>
    <t>DIFF FEES SOCIAL WORK</t>
  </si>
  <si>
    <t>DIFF FEES ENGINEERING</t>
  </si>
  <si>
    <t>SCF ART COURSE MATERIALS</t>
  </si>
  <si>
    <t>SCF FILM STUDIES SUPPLIES</t>
  </si>
  <si>
    <t>SCF HONORS COLLEGE</t>
  </si>
  <si>
    <t>SCF ENGLISH COMP TESTING</t>
  </si>
  <si>
    <t>SCF WRITING CENTER</t>
  </si>
  <si>
    <t>SCF ED OUTREACH PEX</t>
  </si>
  <si>
    <t>SCF KITCHEN ACCOUNT</t>
  </si>
  <si>
    <t>SCF PHYSICAL THERAPY</t>
  </si>
  <si>
    <t>SCF Physics Lab - Starting FY20</t>
  </si>
  <si>
    <t>SCF CHEMISTRY LAB</t>
  </si>
  <si>
    <t>SCF COL EDUC FIELD</t>
  </si>
  <si>
    <t>SCF BIOLOGY LAB</t>
  </si>
  <si>
    <t>SCF HSS SKILLS/SIMULATION LAB</t>
  </si>
  <si>
    <t>SCF NURSING</t>
  </si>
  <si>
    <t>SCF VIDEO PRODUCTION</t>
  </si>
  <si>
    <t>SCF COMPUTER SCI LAB</t>
  </si>
  <si>
    <t>SCF PRO GOLD MGMT GREENS</t>
  </si>
  <si>
    <t>SCF MANAGEMENT INFO SYSTEMS</t>
  </si>
  <si>
    <t>SCF CIVIL ENGINEERING</t>
  </si>
  <si>
    <t>SCF MATH ENHANCEMENT (inactive)</t>
  </si>
  <si>
    <t>SCF MATH 100</t>
  </si>
  <si>
    <t>MATH PLACEMENT TEST FEES (inactive)</t>
  </si>
  <si>
    <t>SCF Dental National Board Exam</t>
  </si>
  <si>
    <t>SCF MUSIC LESSONS</t>
  </si>
  <si>
    <t>SCF ELECTRICAL ENGINEERING</t>
  </si>
  <si>
    <t>SCF SOCIAL WORK</t>
  </si>
  <si>
    <t>SCF MECHANICAL ENGINEERING</t>
  </si>
  <si>
    <t>SCF GEOSCIENCE</t>
  </si>
  <si>
    <t>INTERNATIONAL STUDENT FEE</t>
  </si>
  <si>
    <t>DIETETIC INTERNSHIP PROG FEES</t>
  </si>
  <si>
    <t>LAW STUDENT TECH FEE '18</t>
  </si>
  <si>
    <t>LAW SCHOOL STUDENT FEE ACCOUNT</t>
  </si>
  <si>
    <t>DENTAL SCHOOL SPECIAL PROGRAM FEE</t>
  </si>
  <si>
    <t>DENTAL STUDENT ACTIVITY FEE</t>
  </si>
  <si>
    <t>UNLVSOM ACTIVITIES &amp; PROGRAM</t>
  </si>
  <si>
    <t>UNLVSOM TECHNOLOGY FEE</t>
  </si>
  <si>
    <t>DISTANCE EDUCATION FEE (UNLV)</t>
  </si>
  <si>
    <t>EXEC MSTR HEALTH ADMIN PRG FEE</t>
  </si>
  <si>
    <t>STUDENT HEALTH INSURANCE-OPRTN '18 -Ending FY19</t>
  </si>
  <si>
    <t>HSS Standardized Patient Program</t>
  </si>
  <si>
    <t>INTEGRATE SUPPORT TECH FEE</t>
  </si>
  <si>
    <t>STUDENT TECH FEE</t>
  </si>
  <si>
    <t>UNLVSOM LAB SUPPORT FEE</t>
  </si>
  <si>
    <t>UNLVSOM NBME EXAM FEE - Ending FY19 (inactive)</t>
  </si>
  <si>
    <t>UNLVSOM SIM LAB FEE</t>
  </si>
  <si>
    <t>UNLVSOM USMLE Board Exam Preparatory Fee - Ending FY19 (inactive)</t>
  </si>
  <si>
    <t>CSUN STUDENT ACTIVITIES &amp; PROG</t>
  </si>
  <si>
    <t>INTL DOCTOR DENTAL SURGERY PRG</t>
  </si>
  <si>
    <t>UNLVSOM STUDENT ADMIN FEE</t>
  </si>
  <si>
    <t>UNLVSOM STUDENT RESEARCH FEE - Ending FY19</t>
  </si>
  <si>
    <t>Campus Life Bus &amp; Admin Svs</t>
  </si>
  <si>
    <t>Parking Operations Auxiliary</t>
  </si>
  <si>
    <t>Student Involvement &amp; Activities</t>
  </si>
  <si>
    <t>Kunv-Operating</t>
  </si>
  <si>
    <t>Csun-General Expense</t>
  </si>
  <si>
    <t>Passport Acceptance Program</t>
  </si>
  <si>
    <t>Grad &amp; Prof Student Assn</t>
  </si>
  <si>
    <t>Student Union Event Services</t>
  </si>
  <si>
    <t>Student Union Operations</t>
  </si>
  <si>
    <t>Health Lab-Med Fees</t>
  </si>
  <si>
    <t>UNLV Student Wellness</t>
  </si>
  <si>
    <t>Faculty And Staff Clinic</t>
  </si>
  <si>
    <t>MENTAL HEALTH SERVICES</t>
  </si>
  <si>
    <t>Residential Life Facilities</t>
  </si>
  <si>
    <t>Housing Property Management</t>
  </si>
  <si>
    <t>Sbs Facility Operations</t>
  </si>
  <si>
    <t>Tmc Capital Equipment</t>
  </si>
  <si>
    <t>Tmc Facility Operations</t>
  </si>
  <si>
    <t>Tmc Corporate Sales</t>
  </si>
  <si>
    <t>Tmc Other Receipts &amp; Exps</t>
  </si>
  <si>
    <t>Tmc Computer Services</t>
  </si>
  <si>
    <t>Tmc Marketing</t>
  </si>
  <si>
    <t>Tmc Human Resources</t>
  </si>
  <si>
    <t>Tmc Accounting</t>
  </si>
  <si>
    <t>Tmc Executive Department</t>
  </si>
  <si>
    <t>Tmc Novelty Services</t>
  </si>
  <si>
    <t>Tmc Video Production</t>
  </si>
  <si>
    <t>Tmc Parking Services</t>
  </si>
  <si>
    <t>Sbs Event Services</t>
  </si>
  <si>
    <t>Tmc Booking &amp; Event Services</t>
  </si>
  <si>
    <t>TMC Event Production-Back House</t>
  </si>
  <si>
    <t>Sbs Back Of House</t>
  </si>
  <si>
    <t>Tmc Ticket Office</t>
  </si>
  <si>
    <t>Tmc Unlvtickets</t>
  </si>
  <si>
    <t>Tmc Catering</t>
  </si>
  <si>
    <t>Tmc Concessions</t>
  </si>
  <si>
    <t>Participant Support</t>
  </si>
  <si>
    <t>Ep-Beckley Library</t>
  </si>
  <si>
    <t>Ep-Shelby Williams Hotel</t>
  </si>
  <si>
    <t>Ep-Aquatic Biology Program End</t>
  </si>
  <si>
    <t>Ep-Mary Alice Devos Ii</t>
  </si>
  <si>
    <t>Ep-Ace Denken Phd In Hosp Admn</t>
  </si>
  <si>
    <t>Ep-French / Orr</t>
  </si>
  <si>
    <t>Ep-Mary Alice Devos I</t>
  </si>
  <si>
    <t>Ep-Bernada French</t>
  </si>
  <si>
    <t>Ep-A G &amp; Faye Spanos</t>
  </si>
  <si>
    <t>Ep-Greenspun Print Journ Endow</t>
  </si>
  <si>
    <t>Ep-Mary W Dougherty Honors</t>
  </si>
  <si>
    <t>Ep-Louis Weiner Family</t>
  </si>
  <si>
    <t>Ep-Natural Science</t>
  </si>
  <si>
    <t>Ep-Ashelman Field Studies</t>
  </si>
  <si>
    <t>Ep-Louis Exber Baseball</t>
  </si>
  <si>
    <t>Ep-Musicians Memorial</t>
  </si>
  <si>
    <t>Ep-Dallimore,Barnson,Nakamura</t>
  </si>
  <si>
    <t>Ep-William Weinberger</t>
  </si>
  <si>
    <t>Ep-General Institutional Endw</t>
  </si>
  <si>
    <t>Ep-Richard R &amp; Deborah Ann Roe</t>
  </si>
  <si>
    <t>Ep-Wing &amp; Lilly Fong</t>
  </si>
  <si>
    <t>Ep-Peter Johann</t>
  </si>
  <si>
    <t>Ep-Villa Bonfi</t>
  </si>
  <si>
    <t>Ep-Nev Bev/Anheuser Busch</t>
  </si>
  <si>
    <t>Ep-George C Leypoldt</t>
  </si>
  <si>
    <t>Ep-Barney Shapiro Athletic</t>
  </si>
  <si>
    <t>Ep-Archie &amp; Zora Faye Grant</t>
  </si>
  <si>
    <t>Ep-Marie Barbara Woodrich</t>
  </si>
  <si>
    <t>Ep-Aaron &amp; Helen Weisberg</t>
  </si>
  <si>
    <t>Ep-Athletics</t>
  </si>
  <si>
    <t>Ep-Hawkins</t>
  </si>
  <si>
    <t>Ep-Ella Ahlers</t>
  </si>
  <si>
    <t>Ep-Bill Campbell</t>
  </si>
  <si>
    <t>Ep-Malcolm Moses</t>
  </si>
  <si>
    <t>Ep-Jack Pappy Walsh</t>
  </si>
  <si>
    <t>Ep-Graduate Student</t>
  </si>
  <si>
    <t>Ep-Hotel College Admin</t>
  </si>
  <si>
    <t>Ep-Christina M Hixson</t>
  </si>
  <si>
    <t>Ep-Marjorie H Kunkel</t>
  </si>
  <si>
    <t>Ep-B F Relin Nutrition</t>
  </si>
  <si>
    <t>Ep-Daughters Of Union Vets</t>
  </si>
  <si>
    <t>Ep-Antonio Morelli</t>
  </si>
  <si>
    <t>Ep-Patricia Anne Rocchio</t>
  </si>
  <si>
    <t>Ep-San Sabastian / Pau</t>
  </si>
  <si>
    <t>Ep-Graham Bielski</t>
  </si>
  <si>
    <t>Ep-T &amp; Juanita White Library</t>
  </si>
  <si>
    <t>Ep-Edward Barrick</t>
  </si>
  <si>
    <t>Ep-Thomas &amp; Jimma Beam</t>
  </si>
  <si>
    <t>Ep-Unlv Library Books</t>
  </si>
  <si>
    <t>Ep-Goodwill</t>
  </si>
  <si>
    <t>Ep-Morris Arts &amp; Letters</t>
  </si>
  <si>
    <t>Ep-So Nevada Wines &amp; Spirits</t>
  </si>
  <si>
    <t>Ep-Womens Athletic Scholarship</t>
  </si>
  <si>
    <t>Ep-Ifsea</t>
  </si>
  <si>
    <t>Ep-Joseph W Sedlmeyer Memorial</t>
  </si>
  <si>
    <t>Ep-Hart</t>
  </si>
  <si>
    <t>Ep-Terry Evans Memorial Sch En</t>
  </si>
  <si>
    <t>Ep-Stuart Alman</t>
  </si>
  <si>
    <t>Ep-Evelyn Semling Creative Art</t>
  </si>
  <si>
    <t>Ep-Bert J Leavitt</t>
  </si>
  <si>
    <t>Ep-Charles Vanda</t>
  </si>
  <si>
    <t>Ep-Harvey Siegel Physiology</t>
  </si>
  <si>
    <t>Ep-Juanita White</t>
  </si>
  <si>
    <t>Ep-Bob Davis Memorial</t>
  </si>
  <si>
    <t>Ep-Kenneth Devos</t>
  </si>
  <si>
    <t>Ep-Hotel</t>
  </si>
  <si>
    <t>Ep-Eva Bortman</t>
  </si>
  <si>
    <t>Ep-Vivienne &amp; Bill Morris</t>
  </si>
  <si>
    <t>Ep-Liberace Music</t>
  </si>
  <si>
    <t>Ep-Margaret Kotschevar</t>
  </si>
  <si>
    <t>Ep-Clark County Medical Society Alliance (CCMSA) Endowment</t>
  </si>
  <si>
    <t>Kotschevar Margaret Memorial</t>
  </si>
  <si>
    <t>Beam Endowment Income Business</t>
  </si>
  <si>
    <t>Ica-P. Johann Memor Soccer</t>
  </si>
  <si>
    <t>Bill Campbell Endowment</t>
  </si>
  <si>
    <t>Beam Endowment Income Hotel</t>
  </si>
  <si>
    <t>Beam Endow Income-Architec</t>
  </si>
  <si>
    <t>Grant, Archie &amp; Zora Endowment</t>
  </si>
  <si>
    <t>Library Endowment Income</t>
  </si>
  <si>
    <t>Barrick Academic Programs</t>
  </si>
  <si>
    <t>Ace Denken Fellowships</t>
  </si>
  <si>
    <t>Ace Denken Endowment</t>
  </si>
  <si>
    <t>Barrick Lectures</t>
  </si>
  <si>
    <t>Brookings Mt West Metro Policy</t>
  </si>
  <si>
    <t>Lincy Cura Institute Gift</t>
  </si>
  <si>
    <t>New Leadership Nevada</t>
  </si>
  <si>
    <t>Womens Research Institute Gift</t>
  </si>
  <si>
    <t>INTL GAMING GIFT 77CE - Ending FY18 (Inactive)</t>
  </si>
  <si>
    <t>INTL GAMING CORE ACADEMY GIFT</t>
  </si>
  <si>
    <t>IGI GRAD STUDENT AWARDS</t>
  </si>
  <si>
    <t>Intl Gaming Conference Gift</t>
  </si>
  <si>
    <t>Int'L Prog Vietnam Exchng Gift</t>
  </si>
  <si>
    <t>Caeo Gifts Ending - FY19 (Inactive)</t>
  </si>
  <si>
    <t>GAMING INNOVATION GIFT 77CF</t>
  </si>
  <si>
    <t>Berman Debate Forum</t>
  </si>
  <si>
    <t>Las Vegas Debate League Gift</t>
  </si>
  <si>
    <t>Barrick Museum Gift</t>
  </si>
  <si>
    <t>Kvbc Literary Studies</t>
  </si>
  <si>
    <t>Ernst &amp; Young Faculty Gift</t>
  </si>
  <si>
    <t>Grad Asst-Foundation</t>
  </si>
  <si>
    <t>Verizon Research Gift</t>
  </si>
  <si>
    <t>Lee Start Up Gift</t>
  </si>
  <si>
    <t>Dean's Gift Acct-Restricted</t>
  </si>
  <si>
    <t>Lincy Profship Lee, Scott (Inactive)</t>
  </si>
  <si>
    <t>Sj Hall Econ Gift (Land Sale)</t>
  </si>
  <si>
    <t>Cob Development Activities</t>
  </si>
  <si>
    <t>SMALL BUSINESS TRAINING GIFT (Inactive)</t>
  </si>
  <si>
    <t>Lee Thought Leaders Lectures</t>
  </si>
  <si>
    <t>Marketing and Branding Gift - Ending FY19 (Inactive)</t>
  </si>
  <si>
    <t>RUNNIN REBELS CLUB</t>
  </si>
  <si>
    <t>New Student Orientation Gifts Ending - FY19 (Inactive)</t>
  </si>
  <si>
    <t>Unlvino Restricted</t>
  </si>
  <si>
    <t>Chef Artist Series Gift (Inactive)</t>
  </si>
  <si>
    <t>Minority Student Recruit Gift</t>
  </si>
  <si>
    <t>Hotel College Development</t>
  </si>
  <si>
    <t>Hotel Margin Of Excellence Endowment</t>
  </si>
  <si>
    <t>Boyd Group Budgeted</t>
  </si>
  <si>
    <t>Tourism &amp; Convention Fac Gifts</t>
  </si>
  <si>
    <t>Hotel Col Konami Gaming Gift</t>
  </si>
  <si>
    <t>Kozuki Gaming Educ Gift</t>
  </si>
  <si>
    <t>Harrah's Research Gift</t>
  </si>
  <si>
    <t>Harrahs Gift</t>
  </si>
  <si>
    <t>Hotel Margin of Excellence Restricted Gift</t>
  </si>
  <si>
    <t>Nv Surplus Lines Assoc Gift</t>
  </si>
  <si>
    <t>Lee Visiting Professor Program</t>
  </si>
  <si>
    <t>Lee Professorship Fund</t>
  </si>
  <si>
    <t>INTL GAMING REGULATION GIFT 77CG</t>
  </si>
  <si>
    <t>Natural Energies Tech Lab Gift (Inactive)</t>
  </si>
  <si>
    <t>Architecture Gift</t>
  </si>
  <si>
    <t>Fund for Innovation and Research in Education</t>
  </si>
  <si>
    <t>Second Life Project Gift</t>
  </si>
  <si>
    <t>College Greenspun Gift</t>
  </si>
  <si>
    <t>MGM Public Policy Institute</t>
  </si>
  <si>
    <t>Law School Gift</t>
  </si>
  <si>
    <t>Legal Clinic Gift</t>
  </si>
  <si>
    <t>LAW IMMIGRATION CLINIC GIFTS</t>
  </si>
  <si>
    <t>E BERNSTEIN IMMIGRATION CLINIC</t>
  </si>
  <si>
    <t>ROSENBLUM FAMILY FOUNDATION TAX CLINIC GIFTS</t>
  </si>
  <si>
    <t>Unlv Foundation - Ending FY19</t>
  </si>
  <si>
    <t>Unlv President's Salary Enhan - Ending FY19 (Inactive)</t>
  </si>
  <si>
    <t>Lv Sands Prof Education Gift</t>
  </si>
  <si>
    <t>Reynolds Gift-Guest Artist (Inactive)</t>
  </si>
  <si>
    <t>Nevada Conservatory Theatre</t>
  </si>
  <si>
    <t>ARTISTIC DIR &amp; PROD PROJ GIFT</t>
  </si>
  <si>
    <t>Science/Eng Fair</t>
  </si>
  <si>
    <t>Col Sci Dean's General Gift</t>
  </si>
  <si>
    <t>Science Bowl Competition Gifts (Inactive)</t>
  </si>
  <si>
    <t>CANCER RESEARCH GIFT</t>
  </si>
  <si>
    <t>NSTEC FACULTY SUPPORT GIFT (Inactive)</t>
  </si>
  <si>
    <t>Stem Engineering Gift</t>
  </si>
  <si>
    <t>Col Lib Arts Bennett Fellowshi</t>
  </si>
  <si>
    <t>Liberal Arts Gifts</t>
  </si>
  <si>
    <t>Lib Arts Great Works Cert Gift</t>
  </si>
  <si>
    <t>Prabhu Endowment Gift</t>
  </si>
  <si>
    <t>Cyrus Tang Fdn Profship</t>
  </si>
  <si>
    <t>Marlon Profship Madsen</t>
  </si>
  <si>
    <t>Dr. Orison Jr. Post-Doc Neuroimaging Research Gift</t>
  </si>
  <si>
    <t>School Of Dentistry Gifts</t>
  </si>
  <si>
    <t>DENTAL SCHOOL FUNDRAISING GIFT</t>
  </si>
  <si>
    <t>General Gift-Engineering</t>
  </si>
  <si>
    <t>Hrh Senior Design Dinner</t>
  </si>
  <si>
    <t>Lincy Profship Oh (Inactive)</t>
  </si>
  <si>
    <t>Summa Gift Engineering</t>
  </si>
  <si>
    <t>First Robotics Gift</t>
  </si>
  <si>
    <t>Col Engr Sw Gas Profship Kwang (Inactive)</t>
  </si>
  <si>
    <t>Mendenhall Gift Account</t>
  </si>
  <si>
    <t>Solar &amp; Renewable Energy Minor</t>
  </si>
  <si>
    <t>ENGINEERING QUALCOMM GIFT</t>
  </si>
  <si>
    <t>Physics Gifts</t>
  </si>
  <si>
    <t>Col Educ Autism Center Gift</t>
  </si>
  <si>
    <t>RODMAN GRADUATE ASSISTANTS</t>
  </si>
  <si>
    <t>Unlvino Facility &amp; Equip (Inactive)</t>
  </si>
  <si>
    <t>Sch Comm Hlth Sci Bigelow Gift</t>
  </si>
  <si>
    <t>Hearst Foundations SOS Evaluation</t>
  </si>
  <si>
    <t>Library Dean's Associates Gift</t>
  </si>
  <si>
    <t>Oral History Research Center</t>
  </si>
  <si>
    <t>UNLV Library Gifts</t>
  </si>
  <si>
    <t>TIBERTI FAMILY FUND GIFT</t>
  </si>
  <si>
    <t>Wm. S. Boyd Professorship</t>
  </si>
  <si>
    <t>Law Saltman Ctr Gift</t>
  </si>
  <si>
    <t>Doris-Theodore Lee Prof Of Law</t>
  </si>
  <si>
    <t>Samuel Lionel Law Prof Gift</t>
  </si>
  <si>
    <t>Garman Turner Gordon Professorship</t>
  </si>
  <si>
    <t>Saltman Directorshp Sternlight</t>
  </si>
  <si>
    <t>Law School Support Gifts</t>
  </si>
  <si>
    <t>Judge Jack &amp; Lulu Lehman Prof.</t>
  </si>
  <si>
    <t>Igt-Intellectual Prop.Law Prof</t>
  </si>
  <si>
    <t>Ralph Denton Professor Of Law</t>
  </si>
  <si>
    <t>E.L.Cord Law Professor</t>
  </si>
  <si>
    <t>Cobeaga,Tomlinson Prof. Of Law</t>
  </si>
  <si>
    <t>JOYCE MACK PROFESSOR OF LAW</t>
  </si>
  <si>
    <t>Ed Outreach Gifts</t>
  </si>
  <si>
    <t>United Health Foundation Gift</t>
  </si>
  <si>
    <t>UNLVSOM HARDIE GIFT</t>
  </si>
  <si>
    <t>Undocumented Student Achievement in Public Education</t>
  </si>
  <si>
    <t>Gambarana Gift Income</t>
  </si>
  <si>
    <t>Kaltenborn Bdgt Gift</t>
  </si>
  <si>
    <t>Ed Outreach Osher Senior Gift</t>
  </si>
  <si>
    <t>Veteran Services Gifts Ending - FY19 (Inactive)</t>
  </si>
  <si>
    <t>Senior Programs Restricted Gft</t>
  </si>
  <si>
    <t>Life Sciences Gift</t>
  </si>
  <si>
    <t>Cob-Nv Business Hall Of Fame</t>
  </si>
  <si>
    <t>R Boughner Career Svc Ctr Fund</t>
  </si>
  <si>
    <t>Coll Of Fine Arts-General Gift</t>
  </si>
  <si>
    <t>Dean's Leadership Circle - Fine Arts</t>
  </si>
  <si>
    <t>Lenahan, Saltman, T&amp;M Profship</t>
  </si>
  <si>
    <t>Arts Bridge Scholar</t>
  </si>
  <si>
    <t>Dipalma Project Gift Account</t>
  </si>
  <si>
    <t>Healy Hayes Student Devel Fund</t>
  </si>
  <si>
    <t>FINE ARTS DEAN PROFSHIP (Inactive)</t>
  </si>
  <si>
    <t>Kunv-Gifts</t>
  </si>
  <si>
    <t>Career Plan &amp; Placement Gifts - Ending FY19 (Inactive)</t>
  </si>
  <si>
    <t>Business E-Center Gift</t>
  </si>
  <si>
    <t>Troesh Center for Entrepreneurship and Innovation (CFE-Troesh Fund)</t>
  </si>
  <si>
    <t>Troesh Center for Entrepreneurship and Innovation (CFE-CKF Fund)</t>
  </si>
  <si>
    <t>Communication Studies Gift</t>
  </si>
  <si>
    <t>Engineering/Comp Sci Gift</t>
  </si>
  <si>
    <t>Black Mountain Institute Gifts</t>
  </si>
  <si>
    <t>Black Mtn Inst Rogers Gift</t>
  </si>
  <si>
    <t>BMI Property Liquidation</t>
  </si>
  <si>
    <t>Hixson-Lied Success Program</t>
  </si>
  <si>
    <t>Golf For Business &amp; Life Gift</t>
  </si>
  <si>
    <t>Urban Affairs Nonprft Commgift</t>
  </si>
  <si>
    <t>Vp Student Affairs Gifts</t>
  </si>
  <si>
    <t>Civil &amp; Env Engr Gifts</t>
  </si>
  <si>
    <t>Harold Hay Solar Still Project</t>
  </si>
  <si>
    <t>UNLV FREE PRESS GIFT</t>
  </si>
  <si>
    <t>Oral Facial Dental Resrch Gift (Inactive)</t>
  </si>
  <si>
    <t>Low Latency Storage Gift</t>
  </si>
  <si>
    <t>Drones Autonomous Sys Lab Gift</t>
  </si>
  <si>
    <t>Criminal Justice Fac Gift</t>
  </si>
  <si>
    <t>Law Library Gift - Ending FY19 (Inactive)</t>
  </si>
  <si>
    <t>Student Wellness HEP-B Free</t>
  </si>
  <si>
    <t>Arnold Shaw Popular Music</t>
  </si>
  <si>
    <t>Lied Institute Budgeted</t>
  </si>
  <si>
    <t>Marjorie Barrick Endowment Payout Lecture Series</t>
  </si>
  <si>
    <t>BAKER RESEARCH GIFT</t>
  </si>
  <si>
    <t>Renewable Energy Grad Prg</t>
  </si>
  <si>
    <t>Solar Decathlon Gift</t>
  </si>
  <si>
    <t>Residential Life Gifts/Fndn - FY19 (Inactive)</t>
  </si>
  <si>
    <t>Economic Geology Research Gift</t>
  </si>
  <si>
    <t>Universal Health Sci Angel Pro</t>
  </si>
  <si>
    <t>Unrestricted Gifts-Nursing</t>
  </si>
  <si>
    <t>MARLON PROFSHIP SCHNEIDER (Inactive)</t>
  </si>
  <si>
    <t>UNLV Foundation - Starting FY20</t>
  </si>
  <si>
    <t>Account Detail</t>
  </si>
  <si>
    <t>E2.</t>
  </si>
  <si>
    <t>FY20 FRINGE BENEFIT RATES - Budgeted</t>
  </si>
  <si>
    <t>(1) UNLV moved to a Fringe Pool effective 07.01.19</t>
  </si>
  <si>
    <t>http://hr.nv.gov/Sections/Compensation/2019/COMPENSATION_SCHEDULES,_JULY_15,_2019/</t>
  </si>
  <si>
    <t>Pool</t>
  </si>
  <si>
    <t>Totals carryforward to Summary Form, Line E6</t>
  </si>
  <si>
    <t>FY20 Hourly from 07/15/2019 Salary Schedule, 0% COLA for FY21</t>
  </si>
  <si>
    <t>FY21
COLA</t>
  </si>
  <si>
    <t>FY21
HOURLY</t>
  </si>
  <si>
    <t>FY21 ANNUAL
CALC</t>
  </si>
  <si>
    <t>FY21_BUDGET</t>
  </si>
  <si>
    <t>285</t>
  </si>
  <si>
    <t>7977</t>
  </si>
  <si>
    <t>272</t>
  </si>
  <si>
    <t>77CB</t>
  </si>
  <si>
    <t>77CA</t>
  </si>
  <si>
    <t>375</t>
  </si>
  <si>
    <t>956J</t>
  </si>
  <si>
    <t>n.a.</t>
  </si>
  <si>
    <t>249</t>
  </si>
  <si>
    <t>400T</t>
  </si>
  <si>
    <t>76TY</t>
  </si>
  <si>
    <t>257</t>
  </si>
  <si>
    <t>551N</t>
  </si>
  <si>
    <t>274</t>
  </si>
  <si>
    <t>949Y</t>
  </si>
  <si>
    <t>94DT</t>
  </si>
  <si>
    <t>202</t>
  </si>
  <si>
    <t>0109</t>
  </si>
  <si>
    <t>0442</t>
  </si>
  <si>
    <t>258</t>
  </si>
  <si>
    <t>576G</t>
  </si>
  <si>
    <t>0354</t>
  </si>
  <si>
    <t>255</t>
  </si>
  <si>
    <t>513D</t>
  </si>
  <si>
    <t>0455</t>
  </si>
  <si>
    <t>0410</t>
  </si>
  <si>
    <t>259</t>
  </si>
  <si>
    <t>6024</t>
  </si>
  <si>
    <t>252</t>
  </si>
  <si>
    <t>443L</t>
  </si>
  <si>
    <t>261</t>
  </si>
  <si>
    <t>669B</t>
  </si>
  <si>
    <t>666W</t>
  </si>
  <si>
    <t>6693</t>
  </si>
  <si>
    <t>213</t>
  </si>
  <si>
    <t>1291</t>
  </si>
  <si>
    <t>1283</t>
  </si>
  <si>
    <t>265</t>
  </si>
  <si>
    <t>6829</t>
  </si>
  <si>
    <t>76TQ</t>
  </si>
  <si>
    <t>446W</t>
  </si>
  <si>
    <t>0253</t>
  </si>
  <si>
    <t>0362</t>
  </si>
  <si>
    <t>0363</t>
  </si>
  <si>
    <t>0166</t>
  </si>
  <si>
    <t>0425</t>
  </si>
  <si>
    <t>0365</t>
  </si>
  <si>
    <t>0356</t>
  </si>
  <si>
    <t>0360</t>
  </si>
  <si>
    <t>0358</t>
  </si>
  <si>
    <t>233</t>
  </si>
  <si>
    <t>238A</t>
  </si>
  <si>
    <t>76PK</t>
  </si>
  <si>
    <t>263</t>
  </si>
  <si>
    <t>6774</t>
  </si>
  <si>
    <t>0284</t>
  </si>
  <si>
    <t>0290</t>
  </si>
  <si>
    <t>0282</t>
  </si>
  <si>
    <t>0288</t>
  </si>
  <si>
    <t>0286</t>
  </si>
  <si>
    <t>564C</t>
  </si>
  <si>
    <t>0115</t>
  </si>
  <si>
    <t>0440</t>
  </si>
  <si>
    <t>0119</t>
  </si>
  <si>
    <t>0108</t>
  </si>
  <si>
    <t>0111</t>
  </si>
  <si>
    <t>0121</t>
  </si>
  <si>
    <t>0113</t>
  </si>
  <si>
    <t>021G</t>
  </si>
  <si>
    <t>253</t>
  </si>
  <si>
    <t>477C</t>
  </si>
  <si>
    <t>554D</t>
  </si>
  <si>
    <t>570G</t>
  </si>
  <si>
    <t>570L</t>
  </si>
  <si>
    <t>570B</t>
  </si>
  <si>
    <t>221</t>
  </si>
  <si>
    <t>1962</t>
  </si>
  <si>
    <t>262</t>
  </si>
  <si>
    <t>6711</t>
  </si>
  <si>
    <t>670J</t>
  </si>
  <si>
    <t>228</t>
  </si>
  <si>
    <t>1990</t>
  </si>
  <si>
    <t>214</t>
  </si>
  <si>
    <t>1370</t>
  </si>
  <si>
    <t>76WP</t>
  </si>
  <si>
    <t>524N</t>
  </si>
  <si>
    <t>4666</t>
  </si>
  <si>
    <t>466Q</t>
  </si>
  <si>
    <t>270</t>
  </si>
  <si>
    <t>7554</t>
  </si>
  <si>
    <t>755Y</t>
  </si>
  <si>
    <t>755E</t>
  </si>
  <si>
    <t>755K</t>
  </si>
  <si>
    <t>47DR</t>
  </si>
  <si>
    <t>94FL</t>
  </si>
  <si>
    <t>94FN</t>
  </si>
  <si>
    <t>9420</t>
  </si>
  <si>
    <t>208</t>
  </si>
  <si>
    <t>0872</t>
  </si>
  <si>
    <t>206</t>
  </si>
  <si>
    <t>082W</t>
  </si>
  <si>
    <t>082R</t>
  </si>
  <si>
    <t>669H</t>
  </si>
  <si>
    <t>551P</t>
  </si>
  <si>
    <t>580F</t>
  </si>
  <si>
    <t>218</t>
  </si>
  <si>
    <t>1832</t>
  </si>
  <si>
    <t>1848</t>
  </si>
  <si>
    <t>1831</t>
  </si>
  <si>
    <t>1833</t>
  </si>
  <si>
    <t>5324</t>
  </si>
  <si>
    <t>260</t>
  </si>
  <si>
    <t>64XR</t>
  </si>
  <si>
    <t>254</t>
  </si>
  <si>
    <t>49KM</t>
  </si>
  <si>
    <t>49KX</t>
  </si>
  <si>
    <t>50YQ</t>
  </si>
  <si>
    <t>488L</t>
  </si>
  <si>
    <t>50YL</t>
  </si>
  <si>
    <t>50YN</t>
  </si>
  <si>
    <t>488H</t>
  </si>
  <si>
    <t>50YP</t>
  </si>
  <si>
    <t>49LD</t>
  </si>
  <si>
    <t>49LE</t>
  </si>
  <si>
    <t>5863</t>
  </si>
  <si>
    <t>76TR</t>
  </si>
  <si>
    <t>76YB</t>
  </si>
  <si>
    <t>0882</t>
  </si>
  <si>
    <t>021F</t>
  </si>
  <si>
    <t>486K</t>
  </si>
  <si>
    <t>50JM</t>
  </si>
  <si>
    <t>48DE</t>
  </si>
  <si>
    <t>48DF</t>
  </si>
  <si>
    <t>65CN</t>
  </si>
  <si>
    <t>64XL</t>
  </si>
  <si>
    <t>65CM</t>
  </si>
  <si>
    <t>65DN</t>
  </si>
  <si>
    <t>654M</t>
  </si>
  <si>
    <t>468D</t>
  </si>
  <si>
    <t>482L</t>
  </si>
  <si>
    <t>482M</t>
  </si>
  <si>
    <t>619M</t>
  </si>
  <si>
    <t>611G</t>
  </si>
  <si>
    <t>76KT</t>
  </si>
  <si>
    <t>443C</t>
  </si>
  <si>
    <t>443P</t>
  </si>
  <si>
    <t>571N</t>
  </si>
  <si>
    <t>578W</t>
  </si>
  <si>
    <t>284</t>
  </si>
  <si>
    <t>7962</t>
  </si>
  <si>
    <t>7944</t>
  </si>
  <si>
    <t>619F</t>
  </si>
  <si>
    <t>619P</t>
  </si>
  <si>
    <t>2315</t>
  </si>
  <si>
    <t>267</t>
  </si>
  <si>
    <t>6972</t>
  </si>
  <si>
    <t>676G</t>
  </si>
  <si>
    <t>207</t>
  </si>
  <si>
    <t>0975</t>
  </si>
  <si>
    <t>0999</t>
  </si>
  <si>
    <t>098Q</t>
  </si>
  <si>
    <t>626C</t>
  </si>
  <si>
    <t>626B</t>
  </si>
  <si>
    <t>6263</t>
  </si>
  <si>
    <t>474Q</t>
  </si>
  <si>
    <t>478L</t>
  </si>
  <si>
    <t>478C</t>
  </si>
  <si>
    <t>612E</t>
  </si>
  <si>
    <t>612Y</t>
  </si>
  <si>
    <t>6913</t>
  </si>
  <si>
    <t>6932</t>
  </si>
  <si>
    <t>6988</t>
  </si>
  <si>
    <t>690E</t>
  </si>
  <si>
    <t>251</t>
  </si>
  <si>
    <t>403Y</t>
  </si>
  <si>
    <t>513A</t>
  </si>
  <si>
    <t>5136</t>
  </si>
  <si>
    <t>64RQ</t>
  </si>
  <si>
    <t>6473</t>
  </si>
  <si>
    <t>64WG</t>
  </si>
  <si>
    <t>64YN</t>
  </si>
  <si>
    <t>64RD</t>
  </si>
  <si>
    <t>64YR</t>
  </si>
  <si>
    <t>64YE</t>
  </si>
  <si>
    <t>64XH</t>
  </si>
  <si>
    <t>6713</t>
  </si>
  <si>
    <t>76GX</t>
  </si>
  <si>
    <t>76FX</t>
  </si>
  <si>
    <t>4033</t>
  </si>
  <si>
    <t>404B</t>
  </si>
  <si>
    <t>64QN</t>
  </si>
  <si>
    <t>64QM</t>
  </si>
  <si>
    <t>64QT</t>
  </si>
  <si>
    <t>631Y</t>
  </si>
  <si>
    <t>641J</t>
  </si>
  <si>
    <t>652X</t>
  </si>
  <si>
    <t>631X</t>
  </si>
  <si>
    <t>65RL</t>
  </si>
  <si>
    <t>64XM</t>
  </si>
  <si>
    <t>64XY</t>
  </si>
  <si>
    <t>64XX</t>
  </si>
  <si>
    <t>65CT</t>
  </si>
  <si>
    <t>044K</t>
  </si>
  <si>
    <t>6036</t>
  </si>
  <si>
    <t>433K</t>
  </si>
  <si>
    <t>754A</t>
  </si>
  <si>
    <t>511G</t>
  </si>
  <si>
    <t>511J</t>
  </si>
  <si>
    <t>0827</t>
  </si>
  <si>
    <t>082M</t>
  </si>
  <si>
    <t>083J</t>
  </si>
  <si>
    <t>554G</t>
  </si>
  <si>
    <t>6705</t>
  </si>
  <si>
    <t>6704</t>
  </si>
  <si>
    <t>6703</t>
  </si>
  <si>
    <t>674H</t>
  </si>
  <si>
    <t>454B</t>
  </si>
  <si>
    <t>7601</t>
  </si>
  <si>
    <t>76QX</t>
  </si>
  <si>
    <t>243</t>
  </si>
  <si>
    <t>3991</t>
  </si>
  <si>
    <t>216</t>
  </si>
  <si>
    <t>1542</t>
  </si>
  <si>
    <t>1522</t>
  </si>
  <si>
    <t>1694</t>
  </si>
  <si>
    <t>1518</t>
  </si>
  <si>
    <t>1686</t>
  </si>
  <si>
    <t>1519</t>
  </si>
  <si>
    <t>1511</t>
  </si>
  <si>
    <t>1551</t>
  </si>
  <si>
    <t>1553</t>
  </si>
  <si>
    <t>1701</t>
  </si>
  <si>
    <t>949A</t>
  </si>
  <si>
    <t>2381</t>
  </si>
  <si>
    <t>0107</t>
  </si>
  <si>
    <t>0443</t>
  </si>
  <si>
    <t>611B</t>
  </si>
  <si>
    <t>611K</t>
  </si>
  <si>
    <t>256</t>
  </si>
  <si>
    <t>5404</t>
  </si>
  <si>
    <t>5406</t>
  </si>
  <si>
    <t>576R</t>
  </si>
  <si>
    <t>098E</t>
  </si>
  <si>
    <t>098T</t>
  </si>
  <si>
    <t>098R</t>
  </si>
  <si>
    <t>098W</t>
  </si>
  <si>
    <t>098L</t>
  </si>
  <si>
    <t>098M</t>
  </si>
  <si>
    <t>098P</t>
  </si>
  <si>
    <t>098F</t>
  </si>
  <si>
    <t>098G</t>
  </si>
  <si>
    <t>098J</t>
  </si>
  <si>
    <t>098K</t>
  </si>
  <si>
    <t>098X</t>
  </si>
  <si>
    <t>098H</t>
  </si>
  <si>
    <t>098N</t>
  </si>
  <si>
    <t>1685</t>
  </si>
  <si>
    <t>940C</t>
  </si>
  <si>
    <t>231</t>
  </si>
  <si>
    <t>2022</t>
  </si>
  <si>
    <t>626A</t>
  </si>
  <si>
    <t>631Q</t>
  </si>
  <si>
    <t>653P</t>
  </si>
  <si>
    <t>64XW</t>
  </si>
  <si>
    <t>222</t>
  </si>
  <si>
    <t>085K</t>
  </si>
  <si>
    <t>0865</t>
  </si>
  <si>
    <t>0870</t>
  </si>
  <si>
    <t>0895</t>
  </si>
  <si>
    <t>0897</t>
  </si>
  <si>
    <t>086G</t>
  </si>
  <si>
    <t>085B</t>
  </si>
  <si>
    <t>6202</t>
  </si>
  <si>
    <t>2382</t>
  </si>
  <si>
    <t>944J</t>
  </si>
  <si>
    <t>94FG</t>
  </si>
  <si>
    <t>241</t>
  </si>
  <si>
    <t>3121</t>
  </si>
  <si>
    <t>3158</t>
  </si>
  <si>
    <t>201</t>
  </si>
  <si>
    <t>0011</t>
  </si>
  <si>
    <t>0079</t>
  </si>
  <si>
    <t>669T</t>
  </si>
  <si>
    <t>1994</t>
  </si>
  <si>
    <t>4659</t>
  </si>
  <si>
    <t>0848</t>
  </si>
  <si>
    <t>669X</t>
  </si>
  <si>
    <t>526N</t>
  </si>
  <si>
    <t>527E</t>
  </si>
  <si>
    <t>525Y</t>
  </si>
  <si>
    <t>511T</t>
  </si>
  <si>
    <t>526C</t>
  </si>
  <si>
    <t>527F</t>
  </si>
  <si>
    <t>576A</t>
  </si>
  <si>
    <t>576T</t>
  </si>
  <si>
    <t>3170</t>
  </si>
  <si>
    <t>4394</t>
  </si>
  <si>
    <t>269</t>
  </si>
  <si>
    <t>7517</t>
  </si>
  <si>
    <t>7505</t>
  </si>
  <si>
    <t>211</t>
  </si>
  <si>
    <t>1048</t>
  </si>
  <si>
    <t>1019</t>
  </si>
  <si>
    <t>1036</t>
  </si>
  <si>
    <t>9466</t>
  </si>
  <si>
    <t>94DW</t>
  </si>
  <si>
    <t>244</t>
  </si>
  <si>
    <t>0902</t>
  </si>
  <si>
    <t>486N</t>
  </si>
  <si>
    <t>341Q</t>
  </si>
  <si>
    <t>65CD</t>
  </si>
  <si>
    <t>65BC</t>
  </si>
  <si>
    <t>65CK</t>
  </si>
  <si>
    <t>65CE</t>
  </si>
  <si>
    <t>64XJ</t>
  </si>
  <si>
    <t>649W</t>
  </si>
  <si>
    <t>64XK</t>
  </si>
  <si>
    <t>65CY</t>
  </si>
  <si>
    <t>552Q</t>
  </si>
  <si>
    <t>551K</t>
  </si>
  <si>
    <t>560L</t>
  </si>
  <si>
    <t>754B</t>
  </si>
  <si>
    <t>234</t>
  </si>
  <si>
    <t>2441</t>
  </si>
  <si>
    <t>232</t>
  </si>
  <si>
    <t>224D</t>
  </si>
  <si>
    <t>485T</t>
  </si>
  <si>
    <t>465F</t>
  </si>
  <si>
    <t>94FD</t>
  </si>
  <si>
    <t>64XT</t>
  </si>
  <si>
    <t>598Q</t>
  </si>
  <si>
    <t>77AB</t>
  </si>
  <si>
    <t>569Y</t>
  </si>
  <si>
    <t>50JL</t>
  </si>
  <si>
    <t>655A</t>
  </si>
  <si>
    <t>76KY</t>
  </si>
  <si>
    <t>762X</t>
  </si>
  <si>
    <t>248</t>
  </si>
  <si>
    <t>554E</t>
  </si>
  <si>
    <t>554F</t>
  </si>
  <si>
    <t>64QY</t>
  </si>
  <si>
    <t>64YG</t>
  </si>
  <si>
    <t>64YQ</t>
  </si>
  <si>
    <t>76WH</t>
  </si>
  <si>
    <t>64QP</t>
  </si>
  <si>
    <t>640M</t>
  </si>
  <si>
    <t>76NR</t>
  </si>
  <si>
    <t>511Q</t>
  </si>
  <si>
    <t>50MD</t>
  </si>
  <si>
    <t>49FB</t>
  </si>
  <si>
    <t>48DG</t>
  </si>
  <si>
    <t>0007</t>
  </si>
  <si>
    <t>507L</t>
  </si>
  <si>
    <t>50JJ</t>
  </si>
  <si>
    <t>50EA</t>
  </si>
  <si>
    <t>648W</t>
  </si>
  <si>
    <t>552K</t>
  </si>
  <si>
    <t>0899</t>
  </si>
  <si>
    <t>33CD</t>
  </si>
  <si>
    <t>341K</t>
  </si>
  <si>
    <t>358Q</t>
  </si>
  <si>
    <t>33CE</t>
  </si>
  <si>
    <t>33CF</t>
  </si>
  <si>
    <t>430J</t>
  </si>
  <si>
    <t>940M</t>
  </si>
  <si>
    <t>430H</t>
  </si>
  <si>
    <t>561L</t>
  </si>
  <si>
    <t>474R</t>
  </si>
  <si>
    <t>940Q</t>
  </si>
  <si>
    <t>940L</t>
  </si>
  <si>
    <t>585L</t>
  </si>
  <si>
    <t>585M</t>
  </si>
  <si>
    <t>670M</t>
  </si>
  <si>
    <t>583P</t>
  </si>
  <si>
    <t>65RG</t>
  </si>
  <si>
    <t>63DP</t>
  </si>
  <si>
    <t>465G</t>
  </si>
  <si>
    <t>63DG</t>
  </si>
  <si>
    <t>303</t>
  </si>
  <si>
    <t>940N</t>
  </si>
  <si>
    <t>48DA</t>
  </si>
  <si>
    <t>583N</t>
  </si>
  <si>
    <t>430G</t>
  </si>
  <si>
    <t>63DR</t>
  </si>
  <si>
    <t>086P</t>
  </si>
  <si>
    <t>48DB</t>
  </si>
  <si>
    <t>940K</t>
  </si>
  <si>
    <t>63DY</t>
  </si>
  <si>
    <t>240</t>
  </si>
  <si>
    <t>0814</t>
  </si>
  <si>
    <t>0813</t>
  </si>
  <si>
    <t>086Q</t>
  </si>
  <si>
    <t>086R</t>
  </si>
  <si>
    <t>098A</t>
  </si>
  <si>
    <t>097Y</t>
  </si>
  <si>
    <t>277</t>
  </si>
  <si>
    <t>554K</t>
  </si>
  <si>
    <t>239</t>
  </si>
  <si>
    <t>754F</t>
  </si>
  <si>
    <t>0971</t>
  </si>
  <si>
    <t>0970</t>
  </si>
  <si>
    <t>237</t>
  </si>
  <si>
    <t>086T</t>
  </si>
  <si>
    <t>0973</t>
  </si>
  <si>
    <t>578P</t>
  </si>
  <si>
    <t>443K</t>
  </si>
  <si>
    <t>021A</t>
  </si>
  <si>
    <t>570X</t>
  </si>
  <si>
    <t>578H</t>
  </si>
  <si>
    <t>524T</t>
  </si>
  <si>
    <t>6980</t>
  </si>
  <si>
    <t>6968</t>
  </si>
  <si>
    <t>76NX</t>
  </si>
  <si>
    <t>578J</t>
  </si>
  <si>
    <t>578G</t>
  </si>
  <si>
    <t>0078</t>
  </si>
  <si>
    <t>0085</t>
  </si>
  <si>
    <t>0084</t>
  </si>
  <si>
    <t>617G</t>
  </si>
  <si>
    <t>619H</t>
  </si>
  <si>
    <t>77CK</t>
  </si>
  <si>
    <t>77CL</t>
  </si>
  <si>
    <t>400W</t>
  </si>
  <si>
    <t>77CF</t>
  </si>
  <si>
    <t>949N</t>
  </si>
  <si>
    <t>94DX</t>
  </si>
  <si>
    <t>513C</t>
  </si>
  <si>
    <t>598K</t>
  </si>
  <si>
    <t>442Q</t>
  </si>
  <si>
    <t>6694</t>
  </si>
  <si>
    <t>433X</t>
  </si>
  <si>
    <t>4433</t>
  </si>
  <si>
    <t>4435</t>
  </si>
  <si>
    <t>443G</t>
  </si>
  <si>
    <t>570H</t>
  </si>
  <si>
    <t>573N</t>
  </si>
  <si>
    <t>571M</t>
  </si>
  <si>
    <t>5788</t>
  </si>
  <si>
    <t>583C</t>
  </si>
  <si>
    <t>570W</t>
  </si>
  <si>
    <t>576Y</t>
  </si>
  <si>
    <t>576M</t>
  </si>
  <si>
    <t>5778</t>
  </si>
  <si>
    <t>443R</t>
  </si>
  <si>
    <t>77CG</t>
  </si>
  <si>
    <t>524Y</t>
  </si>
  <si>
    <t>941B</t>
  </si>
  <si>
    <t>9419</t>
  </si>
  <si>
    <t>0826</t>
  </si>
  <si>
    <t>0840</t>
  </si>
  <si>
    <t>580E</t>
  </si>
  <si>
    <t>530K</t>
  </si>
  <si>
    <t>532H</t>
  </si>
  <si>
    <t>6348</t>
  </si>
  <si>
    <t>6349</t>
  </si>
  <si>
    <t>65DP</t>
  </si>
  <si>
    <t>488T</t>
  </si>
  <si>
    <t>619K</t>
  </si>
  <si>
    <t>619N</t>
  </si>
  <si>
    <t>626F</t>
  </si>
  <si>
    <t>560W</t>
  </si>
  <si>
    <t>552W</t>
  </si>
  <si>
    <t>0858</t>
  </si>
  <si>
    <t>086W</t>
  </si>
  <si>
    <t>486F</t>
  </si>
  <si>
    <t>485F</t>
  </si>
  <si>
    <t>4951</t>
  </si>
  <si>
    <t>486G</t>
  </si>
  <si>
    <t>485R</t>
  </si>
  <si>
    <t>50YR</t>
  </si>
  <si>
    <t>50MQ</t>
  </si>
  <si>
    <t>657C</t>
  </si>
  <si>
    <t>471P</t>
  </si>
  <si>
    <t>471R</t>
  </si>
  <si>
    <t>5480</t>
  </si>
  <si>
    <t>690F</t>
  </si>
  <si>
    <t>6981</t>
  </si>
  <si>
    <t>6973</t>
  </si>
  <si>
    <t>690Y</t>
  </si>
  <si>
    <t>083B</t>
  </si>
  <si>
    <t>0843</t>
  </si>
  <si>
    <t>083C</t>
  </si>
  <si>
    <t>083N</t>
  </si>
  <si>
    <t>082Y</t>
  </si>
  <si>
    <t>083H</t>
  </si>
  <si>
    <t>0835</t>
  </si>
  <si>
    <t>083M</t>
  </si>
  <si>
    <t>082X</t>
  </si>
  <si>
    <t>083E</t>
  </si>
  <si>
    <t>083A</t>
  </si>
  <si>
    <t>083D</t>
  </si>
  <si>
    <t>083P</t>
  </si>
  <si>
    <t>676H</t>
  </si>
  <si>
    <t>0993</t>
  </si>
  <si>
    <t>0974</t>
  </si>
  <si>
    <t>6945</t>
  </si>
  <si>
    <t>6942</t>
  </si>
  <si>
    <t>5875</t>
  </si>
  <si>
    <t>674J</t>
  </si>
  <si>
    <t>4129</t>
  </si>
  <si>
    <t>64QQ</t>
  </si>
  <si>
    <t>433E</t>
  </si>
  <si>
    <t>570E</t>
  </si>
  <si>
    <t>511N</t>
  </si>
  <si>
    <t>511R</t>
  </si>
  <si>
    <t>513H</t>
  </si>
  <si>
    <t>511W</t>
  </si>
  <si>
    <t>511C</t>
  </si>
  <si>
    <t>511X</t>
  </si>
  <si>
    <t>242</t>
  </si>
  <si>
    <t>3273</t>
  </si>
  <si>
    <t>454A</t>
  </si>
  <si>
    <t>94FC</t>
  </si>
  <si>
    <t>4954</t>
  </si>
  <si>
    <t>611C</t>
  </si>
  <si>
    <t>611D</t>
  </si>
  <si>
    <t>5414</t>
  </si>
  <si>
    <t>583A</t>
  </si>
  <si>
    <t>944L</t>
  </si>
  <si>
    <t>2027</t>
  </si>
  <si>
    <t>50JN</t>
  </si>
  <si>
    <t>49GR</t>
  </si>
  <si>
    <t>238</t>
  </si>
  <si>
    <t>50MP</t>
  </si>
  <si>
    <t>49KT</t>
  </si>
  <si>
    <t>94FM</t>
  </si>
  <si>
    <t>527K</t>
  </si>
  <si>
    <t>4437</t>
  </si>
  <si>
    <t>50QB</t>
  </si>
  <si>
    <t>50YT</t>
  </si>
  <si>
    <t>49LB</t>
  </si>
  <si>
    <t>65CH</t>
  </si>
  <si>
    <t>560P</t>
  </si>
  <si>
    <t>552P</t>
  </si>
  <si>
    <t>281</t>
  </si>
  <si>
    <t>7716</t>
  </si>
  <si>
    <t>2385</t>
  </si>
  <si>
    <t>220</t>
  </si>
  <si>
    <t>1940</t>
  </si>
  <si>
    <t>2374</t>
  </si>
  <si>
    <t>3251</t>
  </si>
  <si>
    <t>2702</t>
  </si>
  <si>
    <t>207G</t>
  </si>
  <si>
    <t>2801</t>
  </si>
  <si>
    <t>6628</t>
  </si>
  <si>
    <t>235</t>
  </si>
  <si>
    <t>2504</t>
  </si>
  <si>
    <t>2325</t>
  </si>
  <si>
    <t>2940</t>
  </si>
  <si>
    <t>2920</t>
  </si>
  <si>
    <t>2921</t>
  </si>
  <si>
    <t>2502</t>
  </si>
  <si>
    <t>2515</t>
  </si>
  <si>
    <t>TMC</t>
  </si>
  <si>
    <t>204</t>
  </si>
  <si>
    <t>0732</t>
  </si>
  <si>
    <t>0733</t>
  </si>
  <si>
    <t>0731</t>
  </si>
  <si>
    <t>203</t>
  </si>
  <si>
    <t>0682</t>
  </si>
  <si>
    <t>0744</t>
  </si>
  <si>
    <t>0730</t>
  </si>
  <si>
    <t>0729</t>
  </si>
  <si>
    <t>0734</t>
  </si>
  <si>
    <t>0728</t>
  </si>
  <si>
    <t>0727</t>
  </si>
  <si>
    <t>0726</t>
  </si>
  <si>
    <t>0737</t>
  </si>
  <si>
    <t>0739</t>
  </si>
  <si>
    <t>0738</t>
  </si>
  <si>
    <t>0775</t>
  </si>
  <si>
    <t>0735</t>
  </si>
  <si>
    <t>0736</t>
  </si>
  <si>
    <t>0745</t>
  </si>
  <si>
    <t>0740</t>
  </si>
  <si>
    <t>0741</t>
  </si>
  <si>
    <t>0743</t>
  </si>
  <si>
    <t>0742</t>
  </si>
  <si>
    <t>FN10 - Instruction</t>
  </si>
  <si>
    <t>FN20 - Research</t>
  </si>
  <si>
    <t>FN30 - Public Service</t>
  </si>
  <si>
    <t>FN40 - Academic Support</t>
  </si>
  <si>
    <t>FN50 - Student Services</t>
  </si>
  <si>
    <t>FN60 - Insitutional Support</t>
  </si>
  <si>
    <t>FN70 - Operations &amp; Maintenance</t>
  </si>
  <si>
    <t>FN80 - Scholarships</t>
  </si>
  <si>
    <t>FN90 - Auxiliary</t>
  </si>
  <si>
    <t>Dental School</t>
  </si>
  <si>
    <t>Medical School</t>
  </si>
  <si>
    <t>Law School</t>
  </si>
  <si>
    <t>Government Affairs</t>
  </si>
  <si>
    <t>Advancement</t>
  </si>
  <si>
    <t>FNA2</t>
  </si>
  <si>
    <t>Actual Beginning Cash Balance, will be auto-populated from Workday All Funds report after entering Worktag</t>
  </si>
  <si>
    <t>Actual amounts will be auto-populated based on Workday All Funds report after entering Worktag on Summary tab</t>
  </si>
  <si>
    <t>2221</t>
  </si>
  <si>
    <t>2202</t>
  </si>
  <si>
    <t>2224</t>
  </si>
  <si>
    <t>2228</t>
  </si>
  <si>
    <t>2244</t>
  </si>
  <si>
    <t>2246</t>
  </si>
  <si>
    <t>2311</t>
  </si>
  <si>
    <t>2305</t>
  </si>
  <si>
    <t>2457</t>
  </si>
  <si>
    <t>2205</t>
  </si>
  <si>
    <t>Converting</t>
  </si>
  <si>
    <t>Yes</t>
  </si>
  <si>
    <t>No</t>
  </si>
  <si>
    <t xml:space="preserve"> CONVERTING or NEW Y/N ?</t>
  </si>
  <si>
    <t>FY 2020 - 07 Jan</t>
  </si>
  <si>
    <t>FY 2020 - 08 Feb</t>
  </si>
  <si>
    <t>FY 2020 - 09 Mar</t>
  </si>
  <si>
    <t>FY 2020 - 10 Apr</t>
  </si>
  <si>
    <t>FY 2020 - 11 May</t>
  </si>
  <si>
    <t>ONNN?:</t>
  </si>
  <si>
    <t>First Name Last Name</t>
  </si>
  <si>
    <t>Ending Balance</t>
  </si>
  <si>
    <t>Calc'ed Ending Balance</t>
  </si>
  <si>
    <t>Var Check</t>
  </si>
  <si>
    <t>Last Merit</t>
  </si>
  <si>
    <t>Date of Year</t>
  </si>
  <si>
    <t>FY21 Date of</t>
  </si>
  <si>
    <t>Rounded</t>
  </si>
  <si>
    <t>Please note these new Positions are not included in the account's total FTE due to no Position Number created within Workday.</t>
  </si>
  <si>
    <t>Date of Records for all Classified employees listed on this tab will need to be 07/01/21. Since positions listed here are new for FY21 and thus, no merit will be due to the employee hired into the position.</t>
  </si>
  <si>
    <t>Will calc date plus one year</t>
  </si>
  <si>
    <t>Will calc Current Date of Record</t>
  </si>
  <si>
    <t>Department</t>
  </si>
  <si>
    <t>BUDGET YEAR (FY21) SECTION:
The Legislatively Approved biennial budget did not include funding for Professional Merit.</t>
  </si>
  <si>
    <t>Date of Record for Step 10 will be calculated as 07/01/21</t>
  </si>
  <si>
    <t>Date of Record for merit for FY21 will be calculated in the range 07/01/20 - 06/30/21</t>
  </si>
  <si>
    <t>Pos Ending</t>
  </si>
  <si>
    <t>Neg Ending</t>
  </si>
  <si>
    <t>PGH_ST14 UNLV</t>
  </si>
  <si>
    <t>PGH_ST15 ICA</t>
  </si>
  <si>
    <t>PGH_ST18 DENTAL</t>
  </si>
  <si>
    <t>PGH_ST16 LAW</t>
  </si>
  <si>
    <t>PGH_ST19 SOM</t>
  </si>
  <si>
    <t>PGH_ST20 BCS</t>
  </si>
  <si>
    <t>GFH_ST14 UNLV</t>
  </si>
  <si>
    <t>GFH_ST15 ICA</t>
  </si>
  <si>
    <t>GFH_ST16 LAW</t>
  </si>
  <si>
    <t>GFH_ST18 DENTAL</t>
  </si>
  <si>
    <t>GFH_ST19 SOM</t>
  </si>
  <si>
    <t>Revised 12/9/2019</t>
  </si>
  <si>
    <t>Amount</t>
  </si>
  <si>
    <t>FY21 E1</t>
  </si>
  <si>
    <t>SS Prep</t>
  </si>
  <si>
    <t xml:space="preserve">FTE </t>
  </si>
  <si>
    <t xml:space="preserve">Amount </t>
  </si>
  <si>
    <t>FY21 E2</t>
  </si>
  <si>
    <t>=SUMIFS('[FY21 Budget Prep-SS.xlsx]FY21 Prep'!$DN$24:$DN$2289,'[FY21 Budget Prep-SS.xlsx]FY21 Prep'!$B$24:$B$2289,$A$35,'[FY21 Budget Prep-SS.xlsx]FY21 Prep'!$A$24:$A$2289,$A45)</t>
  </si>
  <si>
    <t>=SUMIFS('[FY21 Budget Prep-SS.xlsx]FY21 Prep'!$DO$24:$DO$2289,'[FY21 Budget Prep-SS.xlsx]FY21 Prep'!$B$24:$B$2289,$A$35,'[FY21 Budget Prep-SS.xlsx]FY21 Prep'!$A$24:$A$2289,$A45)</t>
  </si>
  <si>
    <t>=SUMIFS('[FY21 Budget Prep-SS.xlsx]FY21 Prep'!$DN$24:$DN$2289,'[FY21 Budget Prep-SS.xlsx]FY21 Prep'!$B$24:$B$2289,$A$35,'[FY21 Budget Prep-SS.xlsx]FY21 Prep'!$A$24:$A$2289,$I45)</t>
  </si>
  <si>
    <t>=SUMIFS('[FY21 Budget Prep-SS.xlsx]FY21 Prep'!$DO$24:$DO$2289,'[FY21 Budget Prep-SS.xlsx]FY21 Prep'!$B$24:$B$2289,$A$35,'[FY21 Budget Prep-SS.xlsx]FY21 Prep'!$A$24:$A$2289,$I45)</t>
  </si>
  <si>
    <r>
      <rPr>
        <sz val="9.5"/>
        <color rgb="FF0000FF"/>
        <rFont val="Arial"/>
        <family val="2"/>
      </rPr>
      <t xml:space="preserve">Include Explanatory </t>
    </r>
    <r>
      <rPr>
        <sz val="10"/>
        <color rgb="FF0000FF"/>
        <rFont val="Arial"/>
        <family val="2"/>
      </rPr>
      <t xml:space="preserve">Notes </t>
    </r>
  </si>
  <si>
    <t>OTHER OPERATING EXPENSE</t>
  </si>
  <si>
    <t>(5a)</t>
  </si>
  <si>
    <t>(5b)</t>
  </si>
  <si>
    <t xml:space="preserve"> Column 4b:</t>
  </si>
  <si>
    <t>DEBT</t>
  </si>
  <si>
    <t>All Funds End Bal</t>
  </si>
  <si>
    <t>Reports End Bal Var</t>
  </si>
  <si>
    <t>FD207</t>
  </si>
  <si>
    <t>FD202</t>
  </si>
  <si>
    <t>FD402</t>
  </si>
  <si>
    <t>Variance is prior year transactions with program and gift tag (GF02032)</t>
  </si>
  <si>
    <t>Variance Cause</t>
  </si>
  <si>
    <t>Prior year receivable adjustment</t>
  </si>
  <si>
    <t>Due to transactions in prior year on incorrect fund (FD205)</t>
  </si>
  <si>
    <t>Prior year transaction with incorrect fund (FD205)</t>
  </si>
  <si>
    <t>Prior year transaction with Gift Worktag (GF03221)</t>
  </si>
  <si>
    <t>Prior year transactions with incorrect fund (FD205)</t>
  </si>
  <si>
    <t>Total Expenses</t>
  </si>
  <si>
    <t>Prior year receivable adjustment and FY Mismatch</t>
  </si>
  <si>
    <t>FY21 FRINGE BENEFIT RATES - SUBMITTED TO FEDERAL GOVERNMENT</t>
  </si>
  <si>
    <t>Tr Out : to Acct</t>
  </si>
  <si>
    <t>Tr In : From Acct</t>
  </si>
  <si>
    <t>PG18476</t>
  </si>
  <si>
    <t>Philanthropy and Alumni Engagement</t>
  </si>
  <si>
    <t>UNLV Capital Campaign - Starting FY20</t>
  </si>
  <si>
    <t>PG18475</t>
  </si>
  <si>
    <t>GF05582</t>
  </si>
  <si>
    <t>PG18474</t>
  </si>
  <si>
    <t>GF05581</t>
  </si>
  <si>
    <t>Foundation Endowmwnt Mgt Fee - Starting FY20</t>
  </si>
  <si>
    <t>UNLV President's Salary Enhan - Starting FY20</t>
  </si>
  <si>
    <t>Career Plan &amp; Placement Gifts - Starting FY20</t>
  </si>
  <si>
    <t>Alumni Center Rental - Starting FY20</t>
  </si>
  <si>
    <t>UINLV45</t>
  </si>
  <si>
    <t>CC2366</t>
  </si>
  <si>
    <t>PG11952</t>
  </si>
  <si>
    <t>FD215</t>
  </si>
  <si>
    <t>GIF - Instructional Support</t>
  </si>
  <si>
    <t>PG17487</t>
  </si>
  <si>
    <t>GIF - ASC Career Development</t>
  </si>
  <si>
    <t>PG02490</t>
  </si>
  <si>
    <t>PG11950</t>
  </si>
  <si>
    <t>PG11949</t>
  </si>
  <si>
    <t>PG11948</t>
  </si>
  <si>
    <t>PG12213</t>
  </si>
  <si>
    <t>PG11951</t>
  </si>
  <si>
    <t>PG11953</t>
  </si>
  <si>
    <t>PG17489</t>
  </si>
  <si>
    <t>PG17490</t>
  </si>
  <si>
    <t>Athletic Scholarships and Fellowships</t>
  </si>
  <si>
    <t>Athletics Administration</t>
  </si>
  <si>
    <t>Athletic Fee Waivers</t>
  </si>
  <si>
    <t>ENTROLLMENT MGMT - ONE TIME GIF - Ending FY18 (inactive)</t>
  </si>
  <si>
    <t>GIF - LIBRARY RESOURCES</t>
  </si>
  <si>
    <t>GIF - OIT SUPPORT</t>
  </si>
  <si>
    <t>GIF ICA STUDENT SUPPORT 17/18</t>
  </si>
  <si>
    <t>GIF - ASC CAREER DEVELOPMENT - Ending FY18 (inactive)</t>
  </si>
  <si>
    <t>GIF - STUDENT SERVICES - Ending FY18 (inactive)</t>
  </si>
  <si>
    <t>GIF - Student Services</t>
  </si>
  <si>
    <t>Enrollment Mgmt - One Time GIF</t>
  </si>
  <si>
    <t>FN40</t>
  </si>
  <si>
    <t>690M</t>
  </si>
  <si>
    <t>754E</t>
  </si>
  <si>
    <t>FN50</t>
  </si>
  <si>
    <t>021E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</si>
</sst>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3">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General_)"/>
    <numFmt numFmtId="166" formatCode="&quot;$&quot;#,##0\ ;\(&quot;$&quot;#,##0\)"/>
    <numFmt numFmtId="167" formatCode="0.0%"/>
    <numFmt numFmtId="168" formatCode="00\-00"/>
    <numFmt numFmtId="169" formatCode="_(* #,##0_);_(* \(#,##0\);_(* &quot;&quot;_);_(@_)"/>
    <numFmt numFmtId="170" formatCode="0.0000000"/>
    <numFmt numFmtId="171" formatCode="0.00000"/>
    <numFmt numFmtId="172" formatCode="0.0000000000000"/>
    <numFmt numFmtId="173" formatCode="0000"/>
    <numFmt numFmtId="174" formatCode="00"/>
    <numFmt numFmtId="175" formatCode="mm/dd/yy;@"/>
    <numFmt numFmtId="176" formatCode="0.0000%"/>
    <numFmt numFmtId="177" formatCode="0.000000"/>
    <numFmt numFmtId="178" formatCode="0.000%"/>
    <numFmt numFmtId="179" formatCode="[$-409]m/d/yy\ h:mm\ AM/PM;@"/>
    <numFmt numFmtId="180" formatCode="#,##0.00;\(#,##0.00\)"/>
    <numFmt numFmtId="181" formatCode="_(* #,##0.0000_);_(* \(#,##0.0000\);_(* &quot;-&quot;??_);_(@_)"/>
  </numFmts>
  <fonts count="63" x14ac:knownFonts="1">
    <font>
      <sz val="10"/>
      <name val="Arial"/>
    </font>
    <font>
      <sz val="11"/>
      <color theme="1"/>
      <name val="Calibri"/>
      <family val="2"/>
      <scheme val="minor"/>
    </font>
    <font>
      <sz val="11"/>
      <color theme="1"/>
      <name val="Calibri"/>
      <family val="2"/>
    </font>
    <font>
      <b/>
      <sz val="10"/>
      <name val="Arial"/>
      <family val="2"/>
    </font>
    <font>
      <sz val="10"/>
      <name val="Arial"/>
      <family val="2"/>
    </font>
    <font>
      <sz val="9"/>
      <name val="Arial"/>
      <family val="2"/>
    </font>
    <font>
      <b/>
      <sz val="9"/>
      <name val="Arial"/>
      <family val="2"/>
    </font>
    <font>
      <sz val="8"/>
      <name val="Arial"/>
      <family val="2"/>
    </font>
    <font>
      <sz val="10"/>
      <name val="Arial"/>
      <family val="2"/>
    </font>
    <font>
      <b/>
      <sz val="18"/>
      <name val="Arial"/>
      <family val="2"/>
    </font>
    <font>
      <b/>
      <sz val="12"/>
      <name val="Arial"/>
      <family val="2"/>
    </font>
    <font>
      <sz val="10"/>
      <name val="Helv"/>
    </font>
    <font>
      <b/>
      <sz val="10"/>
      <name val="Arial"/>
      <family val="2"/>
    </font>
    <font>
      <sz val="8"/>
      <name val="Helv"/>
    </font>
    <font>
      <b/>
      <sz val="10"/>
      <color indexed="10"/>
      <name val="Arial"/>
      <family val="2"/>
    </font>
    <font>
      <i/>
      <sz val="9"/>
      <name val="Arial"/>
      <family val="2"/>
    </font>
    <font>
      <u val="singleAccounting"/>
      <sz val="10"/>
      <name val="Arial"/>
      <family val="2"/>
    </font>
    <font>
      <sz val="9"/>
      <color indexed="43"/>
      <name val="Arial"/>
      <family val="2"/>
    </font>
    <font>
      <sz val="10"/>
      <name val="Tahoma"/>
      <family val="2"/>
    </font>
    <font>
      <sz val="9"/>
      <name val="Tahoma"/>
      <family val="2"/>
    </font>
    <font>
      <sz val="11"/>
      <name val="Tahoma"/>
      <family val="2"/>
    </font>
    <font>
      <b/>
      <sz val="12"/>
      <name val="Tahoma"/>
      <family val="2"/>
    </font>
    <font>
      <sz val="10"/>
      <color indexed="12"/>
      <name val="Tahoma"/>
      <family val="2"/>
    </font>
    <font>
      <sz val="10"/>
      <color indexed="12"/>
      <name val="Arial"/>
      <family val="2"/>
    </font>
    <font>
      <sz val="9"/>
      <color indexed="12"/>
      <name val="Arial"/>
      <family val="2"/>
    </font>
    <font>
      <sz val="14"/>
      <name val="Tahoma"/>
      <family val="2"/>
    </font>
    <font>
      <u val="singleAccounting"/>
      <sz val="9"/>
      <name val="Arial"/>
      <family val="2"/>
    </font>
    <font>
      <sz val="9"/>
      <name val="Arial"/>
      <family val="2"/>
    </font>
    <font>
      <b/>
      <sz val="9"/>
      <name val="Arial"/>
      <family val="2"/>
    </font>
    <font>
      <u val="singleAccounting"/>
      <sz val="9"/>
      <name val="Arial"/>
      <family val="2"/>
    </font>
    <font>
      <sz val="9"/>
      <color indexed="12"/>
      <name val="Arial"/>
      <family val="2"/>
    </font>
    <font>
      <u val="singleAccounting"/>
      <sz val="10"/>
      <name val="Arial"/>
      <family val="2"/>
    </font>
    <font>
      <sz val="8"/>
      <name val="Arial"/>
      <family val="2"/>
    </font>
    <font>
      <sz val="12"/>
      <name val="Arial"/>
      <family val="2"/>
    </font>
    <font>
      <b/>
      <sz val="9"/>
      <color indexed="12"/>
      <name val="Arial"/>
      <family val="2"/>
    </font>
    <font>
      <sz val="9"/>
      <color rgb="FFFF0000"/>
      <name val="Arial"/>
      <family val="2"/>
    </font>
    <font>
      <sz val="9"/>
      <color rgb="FF0000FF"/>
      <name val="Arial"/>
      <family val="2"/>
    </font>
    <font>
      <sz val="9"/>
      <name val="Calibri"/>
      <family val="2"/>
    </font>
    <font>
      <sz val="10"/>
      <color rgb="FFFF0000"/>
      <name val="Arial"/>
      <family val="2"/>
    </font>
    <font>
      <sz val="10"/>
      <color rgb="FF0000FF"/>
      <name val="Arial"/>
      <family val="2"/>
    </font>
    <font>
      <b/>
      <sz val="10"/>
      <color rgb="FFFF0000"/>
      <name val="Arial"/>
      <family val="2"/>
    </font>
    <font>
      <sz val="9.5"/>
      <color rgb="FF0000FF"/>
      <name val="Arial"/>
      <family val="2"/>
    </font>
    <font>
      <sz val="10"/>
      <name val="Calibri"/>
      <family val="2"/>
    </font>
    <font>
      <u val="singleAccounting"/>
      <sz val="8"/>
      <color indexed="12"/>
      <name val="Arial"/>
      <family val="2"/>
    </font>
    <font>
      <sz val="8"/>
      <color indexed="12"/>
      <name val="Arial"/>
      <family val="2"/>
    </font>
    <font>
      <sz val="8"/>
      <color rgb="FF0000FF"/>
      <name val="Arial"/>
      <family val="2"/>
    </font>
    <font>
      <sz val="11"/>
      <name val="Arial"/>
      <family val="2"/>
    </font>
    <font>
      <u/>
      <sz val="10"/>
      <color theme="10"/>
      <name val="Arial"/>
      <family val="2"/>
    </font>
    <font>
      <sz val="10"/>
      <color rgb="FF000000"/>
      <name val="Times New Roman"/>
      <family val="1"/>
    </font>
    <font>
      <b/>
      <sz val="10"/>
      <color indexed="12"/>
      <name val="Arial"/>
      <family val="2"/>
    </font>
    <font>
      <sz val="18"/>
      <name val="Times New Roman"/>
      <family val="1"/>
    </font>
    <font>
      <sz val="12"/>
      <color rgb="FF0000FF"/>
      <name val="Arial"/>
      <family val="2"/>
    </font>
    <font>
      <sz val="10"/>
      <color indexed="8"/>
      <name val="MS Sans Serif"/>
      <family val="2"/>
    </font>
    <font>
      <sz val="10"/>
      <color indexed="8"/>
      <name val="Arial"/>
      <family val="2"/>
    </font>
    <font>
      <i/>
      <sz val="10"/>
      <name val="Arial"/>
      <family val="2"/>
    </font>
    <font>
      <sz val="10"/>
      <color rgb="FF000000"/>
      <name val="Times New Roman"/>
      <family val="1"/>
    </font>
    <font>
      <sz val="10"/>
      <name val="Arial"/>
      <family val="2"/>
    </font>
    <font>
      <b/>
      <i/>
      <sz val="10"/>
      <name val="Arial"/>
      <family val="2"/>
    </font>
    <font>
      <b/>
      <sz val="9"/>
      <color theme="1"/>
      <name val="Arial"/>
      <family val="2"/>
    </font>
    <font>
      <b/>
      <i/>
      <sz val="10"/>
      <color rgb="FFFF0000"/>
      <name val="Arial"/>
      <family val="2"/>
    </font>
    <font>
      <b/>
      <sz val="9"/>
      <color rgb="FFFF0000"/>
      <name val="Arial"/>
      <family val="2"/>
    </font>
    <font>
      <i/>
      <sz val="11"/>
      <color rgb="FFFF0000"/>
      <name val="Arial"/>
      <family val="2"/>
    </font>
    <font>
      <b/>
      <sz val="11"/>
      <color theme="0"/>
      <name val="Arial"/>
      <family val="2"/>
    </font>
  </fonts>
  <fills count="32">
    <fill>
      <patternFill patternType="none"/>
    </fill>
    <fill>
      <patternFill patternType="gray125"/>
    </fill>
    <fill>
      <patternFill patternType="solid">
        <fgColor indexed="43"/>
        <bgColor indexed="64"/>
      </patternFill>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solid">
        <fgColor indexed="42"/>
        <bgColor indexed="64"/>
      </patternFill>
    </fill>
    <fill>
      <patternFill patternType="solid">
        <fgColor indexed="47"/>
        <bgColor indexed="64"/>
      </patternFill>
    </fill>
    <fill>
      <patternFill patternType="solid">
        <fgColor indexed="9"/>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FF99"/>
        <bgColor indexed="64"/>
      </patternFill>
    </fill>
    <fill>
      <patternFill patternType="solid">
        <fgColor theme="0" tint="-4.9989318521683403E-2"/>
        <bgColor indexed="64"/>
      </patternFill>
    </fill>
    <fill>
      <patternFill patternType="solid">
        <fgColor rgb="FF99CCFF"/>
        <bgColor indexed="64"/>
      </patternFill>
    </fill>
    <fill>
      <patternFill patternType="solid">
        <fgColor theme="0" tint="-4.9989318521683403E-2"/>
        <bgColor indexed="47"/>
      </patternFill>
    </fill>
    <fill>
      <patternFill patternType="solid">
        <fgColor theme="5" tint="0.59999389629810485"/>
        <bgColor indexed="64"/>
      </patternFill>
    </fill>
    <fill>
      <patternFill patternType="solid">
        <fgColor rgb="FFFFFFCC"/>
        <bgColor indexed="64"/>
      </patternFill>
    </fill>
    <fill>
      <patternFill patternType="solid">
        <fgColor rgb="FFE3E3E3"/>
        <bgColor indexed="64"/>
      </patternFill>
    </fill>
    <fill>
      <patternFill patternType="solid">
        <fgColor theme="3" tint="0.59999389629810485"/>
        <bgColor indexed="64"/>
      </patternFill>
    </fill>
    <fill>
      <patternFill patternType="solid">
        <fgColor rgb="FFCCFFCC"/>
        <bgColor indexed="64"/>
      </patternFill>
    </fill>
    <fill>
      <patternFill patternType="solid">
        <fgColor rgb="FFFF000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rgb="FFA6CAF0"/>
        <bgColor indexed="64"/>
      </patternFill>
    </fill>
    <fill>
      <patternFill patternType="solid">
        <fgColor theme="6" tint="0.39997558519241921"/>
        <bgColor indexed="64"/>
      </patternFill>
    </fill>
    <fill>
      <patternFill patternType="solid">
        <fgColor theme="8" tint="0.79998168889431442"/>
        <bgColor indexed="64"/>
      </patternFill>
    </fill>
    <fill>
      <patternFill patternType="solid">
        <fgColor rgb="FFFFFF00"/>
        <bgColor indexed="64"/>
      </patternFill>
    </fill>
    <fill>
      <patternFill patternType="solid">
        <fgColor indexed="43"/>
        <bgColor indexed="22"/>
      </patternFill>
    </fill>
    <fill>
      <patternFill patternType="solid">
        <fgColor theme="9" tint="-0.249977111117893"/>
        <bgColor indexed="64"/>
      </patternFill>
    </fill>
  </fills>
  <borders count="167">
    <border>
      <left/>
      <right/>
      <top/>
      <bottom/>
      <diagonal/>
    </border>
    <border>
      <left/>
      <right/>
      <top style="double">
        <color indexed="64"/>
      </top>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top/>
      <bottom style="medium">
        <color indexed="64"/>
      </bottom>
      <diagonal/>
    </border>
    <border>
      <left/>
      <right/>
      <top/>
      <bottom style="thin">
        <color indexed="8"/>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8"/>
      </left>
      <right style="thin">
        <color indexed="64"/>
      </right>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bottom style="thin">
        <color indexed="8"/>
      </bottom>
      <diagonal/>
    </border>
    <border>
      <left style="thin">
        <color indexed="64"/>
      </left>
      <right style="thin">
        <color indexed="64"/>
      </right>
      <top/>
      <bottom style="thin">
        <color indexed="64"/>
      </bottom>
      <diagonal/>
    </border>
    <border>
      <left/>
      <right style="thin">
        <color indexed="8"/>
      </right>
      <top/>
      <bottom style="thin">
        <color indexed="8"/>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style="medium">
        <color indexed="64"/>
      </bottom>
      <diagonal/>
    </border>
    <border>
      <left/>
      <right style="thin">
        <color indexed="8"/>
      </right>
      <top/>
      <bottom/>
      <diagonal/>
    </border>
    <border>
      <left style="double">
        <color indexed="64"/>
      </left>
      <right style="double">
        <color indexed="64"/>
      </right>
      <top style="double">
        <color indexed="64"/>
      </top>
      <bottom style="double">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8"/>
      </right>
      <top style="thin">
        <color indexed="64"/>
      </top>
      <bottom/>
      <diagonal/>
    </border>
    <border>
      <left/>
      <right style="thin">
        <color indexed="8"/>
      </right>
      <top style="thin">
        <color indexed="8"/>
      </top>
      <bottom/>
      <diagonal/>
    </border>
    <border>
      <left style="thin">
        <color indexed="64"/>
      </left>
      <right style="thin">
        <color indexed="8"/>
      </right>
      <top/>
      <bottom/>
      <diagonal/>
    </border>
    <border>
      <left style="thin">
        <color indexed="64"/>
      </left>
      <right style="thin">
        <color indexed="64"/>
      </right>
      <top style="thin">
        <color indexed="8"/>
      </top>
      <bottom style="thin">
        <color indexed="8"/>
      </bottom>
      <diagonal/>
    </border>
    <border>
      <left/>
      <right/>
      <top style="thin">
        <color indexed="8"/>
      </top>
      <bottom style="thin">
        <color indexed="8"/>
      </bottom>
      <diagonal/>
    </border>
    <border>
      <left style="thin">
        <color indexed="64"/>
      </left>
      <right style="thin">
        <color indexed="8"/>
      </right>
      <top style="thin">
        <color indexed="8"/>
      </top>
      <bottom style="thin">
        <color indexed="8"/>
      </bottom>
      <diagonal/>
    </border>
    <border>
      <left/>
      <right/>
      <top/>
      <bottom style="thick">
        <color indexed="64"/>
      </bottom>
      <diagonal/>
    </border>
    <border>
      <left/>
      <right/>
      <top style="medium">
        <color indexed="64"/>
      </top>
      <bottom style="thin">
        <color indexed="64"/>
      </bottom>
      <diagonal/>
    </border>
    <border>
      <left/>
      <right/>
      <top style="medium">
        <color indexed="64"/>
      </top>
      <bottom/>
      <diagonal/>
    </border>
    <border>
      <left/>
      <right/>
      <top style="thick">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8"/>
      </right>
      <top style="thin">
        <color indexed="64"/>
      </top>
      <bottom/>
      <diagonal/>
    </border>
    <border>
      <left/>
      <right style="thin">
        <color indexed="8"/>
      </right>
      <top/>
      <bottom style="thin">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top/>
      <bottom style="thin">
        <color auto="1"/>
      </bottom>
      <diagonal/>
    </border>
    <border>
      <left style="thin">
        <color auto="1"/>
      </left>
      <right style="thin">
        <color auto="1"/>
      </right>
      <top/>
      <bottom style="thin">
        <color auto="1"/>
      </bottom>
      <diagonal/>
    </border>
    <border>
      <left/>
      <right/>
      <top style="thin">
        <color auto="1"/>
      </top>
      <bottom/>
      <diagonal/>
    </border>
    <border>
      <left/>
      <right/>
      <top/>
      <bottom style="thin">
        <color auto="1"/>
      </bottom>
      <diagonal/>
    </border>
    <border>
      <left style="thin">
        <color indexed="8"/>
      </left>
      <right style="thin">
        <color indexed="64"/>
      </right>
      <top/>
      <bottom/>
      <diagonal/>
    </border>
    <border>
      <left style="thin">
        <color indexed="64"/>
      </left>
      <right style="thin">
        <color indexed="64"/>
      </right>
      <top style="thin">
        <color auto="1"/>
      </top>
      <bottom style="thin">
        <color auto="1"/>
      </bottom>
      <diagonal/>
    </border>
    <border>
      <left/>
      <right style="thin">
        <color indexed="8"/>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diagonal/>
    </border>
    <border>
      <left style="medium">
        <color indexed="64"/>
      </left>
      <right style="thin">
        <color auto="1"/>
      </right>
      <top style="thin">
        <color auto="1"/>
      </top>
      <bottom style="thin">
        <color auto="1"/>
      </bottom>
      <diagonal/>
    </border>
    <border>
      <left style="medium">
        <color indexed="64"/>
      </left>
      <right/>
      <top/>
      <bottom style="thin">
        <color indexed="64"/>
      </bottom>
      <diagonal/>
    </border>
    <border>
      <left style="thin">
        <color indexed="64"/>
      </left>
      <right/>
      <top style="thin">
        <color indexed="64"/>
      </top>
      <bottom/>
      <diagonal/>
    </border>
    <border>
      <left style="thin">
        <color indexed="8"/>
      </left>
      <right style="thin">
        <color indexed="64"/>
      </right>
      <top style="thin">
        <color indexed="64"/>
      </top>
      <bottom/>
      <diagonal/>
    </border>
    <border>
      <left style="thin">
        <color auto="1"/>
      </left>
      <right style="thin">
        <color auto="1"/>
      </right>
      <top style="thin">
        <color auto="1"/>
      </top>
      <bottom/>
      <diagonal/>
    </border>
    <border>
      <left style="thin">
        <color auto="1"/>
      </left>
      <right style="thin">
        <color auto="1"/>
      </right>
      <top/>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medium">
        <color indexed="64"/>
      </left>
      <right/>
      <top style="thin">
        <color auto="1"/>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auto="1"/>
      </top>
      <bottom style="thin">
        <color auto="1"/>
      </bottom>
      <diagonal/>
    </border>
    <border>
      <left/>
      <right/>
      <top style="thin">
        <color auto="1"/>
      </top>
      <bottom style="thin">
        <color auto="1"/>
      </bottom>
      <diagonal/>
    </border>
    <border>
      <left/>
      <right style="thin">
        <color indexed="64"/>
      </right>
      <top style="thin">
        <color auto="1"/>
      </top>
      <bottom style="thin">
        <color auto="1"/>
      </bottom>
      <diagonal/>
    </border>
    <border>
      <left style="thin">
        <color indexed="64"/>
      </left>
      <right style="thin">
        <color indexed="8"/>
      </right>
      <top style="thin">
        <color indexed="64"/>
      </top>
      <bottom style="thin">
        <color indexed="64"/>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top/>
      <bottom style="thin">
        <color auto="1"/>
      </bottom>
      <diagonal/>
    </border>
    <border>
      <left/>
      <right/>
      <top style="thin">
        <color indexed="64"/>
      </top>
      <bottom/>
      <diagonal/>
    </border>
    <border>
      <left/>
      <right/>
      <top/>
      <bottom style="thin">
        <color indexed="8"/>
      </bottom>
      <diagonal/>
    </border>
    <border>
      <left/>
      <right/>
      <top/>
      <bottom style="thin">
        <color indexed="64"/>
      </bottom>
      <diagonal/>
    </border>
    <border>
      <left style="thin">
        <color indexed="64"/>
      </left>
      <right style="thin">
        <color indexed="64"/>
      </right>
      <top/>
      <bottom style="thin">
        <color indexed="8"/>
      </bottom>
      <diagonal/>
    </border>
    <border>
      <left style="thin">
        <color indexed="64"/>
      </left>
      <right style="thin">
        <color indexed="64"/>
      </right>
      <top style="thin">
        <color indexed="64"/>
      </top>
      <bottom style="thin">
        <color indexed="8"/>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8"/>
      </left>
      <right/>
      <top/>
      <bottom style="thin">
        <color indexed="8"/>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8"/>
      </right>
      <top style="thin">
        <color indexed="64"/>
      </top>
      <bottom/>
      <diagonal/>
    </border>
    <border>
      <left/>
      <right/>
      <top style="thin">
        <color indexed="64"/>
      </top>
      <bottom/>
      <diagonal/>
    </border>
    <border>
      <left/>
      <right style="thin">
        <color indexed="8"/>
      </right>
      <top/>
      <bottom/>
      <diagonal/>
    </border>
    <border>
      <left/>
      <right style="thin">
        <color indexed="64"/>
      </right>
      <top/>
      <bottom/>
      <diagonal/>
    </border>
    <border>
      <left style="thin">
        <color indexed="64"/>
      </left>
      <right style="thin">
        <color indexed="64"/>
      </right>
      <top style="thin">
        <color indexed="8"/>
      </top>
      <bottom style="thin">
        <color indexed="8"/>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style="thin">
        <color indexed="8"/>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top style="thin">
        <color indexed="8"/>
      </top>
      <bottom style="thin">
        <color indexed="8"/>
      </bottom>
      <diagonal/>
    </border>
  </borders>
  <cellStyleXfs count="25">
    <xf numFmtId="0" fontId="0" fillId="0" borderId="0"/>
    <xf numFmtId="43" fontId="4" fillId="0" borderId="0" applyFont="0" applyFill="0" applyBorder="0" applyAlignment="0" applyProtection="0"/>
    <xf numFmtId="3" fontId="4" fillId="0" borderId="0" applyFont="0" applyFill="0" applyBorder="0" applyAlignment="0" applyProtection="0"/>
    <xf numFmtId="166"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165" fontId="11" fillId="0" borderId="0"/>
    <xf numFmtId="165" fontId="13" fillId="0" borderId="0"/>
    <xf numFmtId="9" fontId="4" fillId="0" borderId="0" applyFont="0" applyFill="0" applyBorder="0" applyAlignment="0" applyProtection="0"/>
    <xf numFmtId="0" fontId="4" fillId="0" borderId="1" applyNumberFormat="0" applyFont="0" applyFill="0" applyAlignment="0" applyProtection="0"/>
    <xf numFmtId="0" fontId="4" fillId="0" borderId="0"/>
    <xf numFmtId="0" fontId="2" fillId="0" borderId="0"/>
    <xf numFmtId="44" fontId="4" fillId="0" borderId="0" applyFont="0" applyFill="0" applyBorder="0" applyAlignment="0" applyProtection="0"/>
    <xf numFmtId="44" fontId="4" fillId="0" borderId="0" applyFont="0" applyFill="0" applyBorder="0" applyAlignment="0" applyProtection="0"/>
    <xf numFmtId="0" fontId="1" fillId="0" borderId="0"/>
    <xf numFmtId="0" fontId="1" fillId="0" borderId="0"/>
    <xf numFmtId="0" fontId="47" fillId="0" borderId="0" applyNumberFormat="0" applyFill="0" applyBorder="0" applyAlignment="0" applyProtection="0"/>
    <xf numFmtId="0" fontId="48" fillId="0" borderId="0"/>
    <xf numFmtId="165" fontId="11" fillId="0" borderId="0"/>
    <xf numFmtId="43" fontId="4" fillId="0" borderId="0" applyFont="0" applyFill="0" applyBorder="0" applyAlignment="0" applyProtection="0"/>
    <xf numFmtId="0" fontId="52" fillId="0" borderId="0"/>
    <xf numFmtId="0" fontId="55" fillId="0" borderId="0"/>
    <xf numFmtId="44" fontId="56" fillId="0" borderId="0" applyFont="0" applyFill="0" applyBorder="0" applyAlignment="0" applyProtection="0"/>
  </cellStyleXfs>
  <cellXfs count="1589">
    <xf numFmtId="0" fontId="0" fillId="0" borderId="0" xfId="0"/>
    <xf numFmtId="164" fontId="5" fillId="0" borderId="0" xfId="1" applyNumberFormat="1" applyFont="1"/>
    <xf numFmtId="164" fontId="8" fillId="0" borderId="0" xfId="1" applyNumberFormat="1" applyFont="1"/>
    <xf numFmtId="164" fontId="5" fillId="0" borderId="0" xfId="1" applyNumberFormat="1" applyFont="1" applyProtection="1"/>
    <xf numFmtId="170" fontId="0" fillId="0" borderId="0" xfId="0" applyNumberFormat="1"/>
    <xf numFmtId="1" fontId="0" fillId="0" borderId="0" xfId="0" applyNumberFormat="1"/>
    <xf numFmtId="14" fontId="0" fillId="0" borderId="0" xfId="0" applyNumberFormat="1"/>
    <xf numFmtId="171" fontId="0" fillId="0" borderId="0" xfId="0" applyNumberFormat="1"/>
    <xf numFmtId="172" fontId="0" fillId="0" borderId="0" xfId="0" applyNumberFormat="1"/>
    <xf numFmtId="0" fontId="0" fillId="0" borderId="0" xfId="0" applyAlignment="1">
      <alignment horizontal="left"/>
    </xf>
    <xf numFmtId="174" fontId="0" fillId="0" borderId="0" xfId="0" applyNumberFormat="1" applyAlignment="1">
      <alignment horizontal="left"/>
    </xf>
    <xf numFmtId="0" fontId="0" fillId="0" borderId="0" xfId="0" applyFill="1"/>
    <xf numFmtId="165" fontId="5" fillId="0" borderId="0" xfId="8" applyFont="1" applyBorder="1" applyProtection="1"/>
    <xf numFmtId="0" fontId="0" fillId="0" borderId="0" xfId="0" applyBorder="1"/>
    <xf numFmtId="0" fontId="0" fillId="0" borderId="0" xfId="0" applyFill="1" applyBorder="1"/>
    <xf numFmtId="0" fontId="12" fillId="0" borderId="0" xfId="0" applyFont="1" applyBorder="1"/>
    <xf numFmtId="0" fontId="12" fillId="0" borderId="0" xfId="0" applyFont="1" applyBorder="1" applyAlignment="1">
      <alignment horizontal="center"/>
    </xf>
    <xf numFmtId="0" fontId="0" fillId="0" borderId="0" xfId="0" applyAlignment="1">
      <alignment horizontal="left" indent="1"/>
    </xf>
    <xf numFmtId="0" fontId="12" fillId="0" borderId="3" xfId="0" applyFont="1" applyBorder="1" applyAlignment="1">
      <alignment horizontal="center"/>
    </xf>
    <xf numFmtId="0" fontId="0" fillId="0" borderId="0" xfId="0" applyAlignment="1">
      <alignment horizontal="center"/>
    </xf>
    <xf numFmtId="0" fontId="12" fillId="0" borderId="0" xfId="0" applyFont="1"/>
    <xf numFmtId="0" fontId="0" fillId="0" borderId="4" xfId="0" applyBorder="1"/>
    <xf numFmtId="10" fontId="0" fillId="0" borderId="0" xfId="0" applyNumberFormat="1" applyBorder="1"/>
    <xf numFmtId="10" fontId="0" fillId="0" borderId="6" xfId="10" applyNumberFormat="1" applyFont="1" applyFill="1" applyBorder="1"/>
    <xf numFmtId="10" fontId="0" fillId="0" borderId="6" xfId="10" applyNumberFormat="1" applyFont="1" applyFill="1" applyBorder="1" applyAlignment="1">
      <alignment horizontal="center"/>
    </xf>
    <xf numFmtId="10" fontId="0" fillId="0" borderId="7" xfId="10" applyNumberFormat="1" applyFont="1" applyFill="1" applyBorder="1" applyAlignment="1">
      <alignment horizontal="center"/>
    </xf>
    <xf numFmtId="10" fontId="0" fillId="0" borderId="8" xfId="10" applyNumberFormat="1" applyFont="1" applyFill="1" applyBorder="1"/>
    <xf numFmtId="10" fontId="0" fillId="0" borderId="7" xfId="10" applyNumberFormat="1" applyFont="1" applyFill="1" applyBorder="1"/>
    <xf numFmtId="10" fontId="0" fillId="0" borderId="8" xfId="10" applyNumberFormat="1" applyFont="1" applyFill="1" applyBorder="1" applyAlignment="1">
      <alignment horizontal="center"/>
    </xf>
    <xf numFmtId="10" fontId="0" fillId="0" borderId="8" xfId="10" applyNumberFormat="1" applyFont="1" applyFill="1" applyBorder="1" applyAlignment="1"/>
    <xf numFmtId="0" fontId="0" fillId="0" borderId="0" xfId="0" applyFill="1" applyAlignment="1">
      <alignment horizontal="left" indent="1"/>
    </xf>
    <xf numFmtId="0" fontId="12" fillId="0" borderId="3" xfId="0" applyFont="1" applyBorder="1" applyAlignment="1">
      <alignment horizontal="left" indent="1"/>
    </xf>
    <xf numFmtId="41" fontId="5" fillId="2" borderId="10" xfId="1" applyNumberFormat="1" applyFont="1" applyFill="1" applyBorder="1" applyAlignment="1" applyProtection="1"/>
    <xf numFmtId="41" fontId="5" fillId="2" borderId="14" xfId="1" applyNumberFormat="1" applyFont="1" applyFill="1" applyBorder="1" applyAlignment="1" applyProtection="1">
      <alignment horizontal="center"/>
    </xf>
    <xf numFmtId="165" fontId="5" fillId="2" borderId="16" xfId="8" applyFont="1" applyFill="1" applyBorder="1" applyAlignment="1" applyProtection="1"/>
    <xf numFmtId="165" fontId="5" fillId="0" borderId="0" xfId="8" applyFont="1"/>
    <xf numFmtId="165" fontId="6" fillId="0" borderId="0" xfId="8" applyFont="1" applyAlignment="1" applyProtection="1">
      <alignment horizontal="centerContinuous"/>
    </xf>
    <xf numFmtId="0" fontId="5" fillId="0" borderId="0" xfId="0" applyFont="1"/>
    <xf numFmtId="165" fontId="5" fillId="0" borderId="0" xfId="8" applyFont="1" applyProtection="1"/>
    <xf numFmtId="165" fontId="5" fillId="0" borderId="0" xfId="8" applyFont="1" applyAlignment="1" applyProtection="1">
      <alignment horizontal="center"/>
    </xf>
    <xf numFmtId="165" fontId="6" fillId="0" borderId="0" xfId="8" applyFont="1" applyAlignment="1" applyProtection="1">
      <alignment horizontal="center"/>
    </xf>
    <xf numFmtId="165" fontId="6" fillId="0" borderId="0" xfId="8" applyFont="1" applyBorder="1" applyAlignment="1" applyProtection="1">
      <alignment horizontal="center"/>
    </xf>
    <xf numFmtId="49" fontId="6" fillId="0" borderId="0" xfId="8" applyNumberFormat="1" applyFont="1" applyAlignment="1" applyProtection="1">
      <alignment horizontal="center"/>
    </xf>
    <xf numFmtId="49" fontId="5" fillId="0" borderId="0" xfId="8" applyNumberFormat="1" applyFont="1" applyAlignment="1" applyProtection="1">
      <alignment horizontal="center"/>
    </xf>
    <xf numFmtId="165" fontId="6" fillId="0" borderId="19" xfId="8" applyFont="1" applyBorder="1" applyAlignment="1" applyProtection="1">
      <alignment horizontal="center"/>
    </xf>
    <xf numFmtId="165" fontId="6" fillId="0" borderId="6" xfId="9" applyFont="1" applyBorder="1" applyAlignment="1" applyProtection="1">
      <alignment horizontal="center"/>
    </xf>
    <xf numFmtId="165" fontId="6" fillId="0" borderId="20" xfId="8" applyFont="1" applyBorder="1" applyAlignment="1" applyProtection="1">
      <alignment horizontal="center"/>
    </xf>
    <xf numFmtId="165" fontId="6" fillId="0" borderId="8" xfId="9" applyFont="1" applyBorder="1" applyAlignment="1" applyProtection="1">
      <alignment horizontal="center"/>
    </xf>
    <xf numFmtId="165" fontId="6" fillId="0" borderId="16" xfId="8" applyFont="1" applyBorder="1" applyAlignment="1" applyProtection="1">
      <alignment horizontal="center"/>
    </xf>
    <xf numFmtId="165" fontId="6" fillId="0" borderId="21" xfId="8" applyFont="1" applyBorder="1" applyAlignment="1" applyProtection="1">
      <alignment horizontal="center"/>
    </xf>
    <xf numFmtId="165" fontId="6" fillId="0" borderId="16" xfId="8" applyFont="1" applyBorder="1" applyAlignment="1" applyProtection="1">
      <alignment horizontal="left" indent="1"/>
    </xf>
    <xf numFmtId="165" fontId="6" fillId="0" borderId="3" xfId="8" applyFont="1" applyBorder="1" applyAlignment="1" applyProtection="1">
      <alignment horizontal="center"/>
    </xf>
    <xf numFmtId="165" fontId="5" fillId="2" borderId="3" xfId="8" applyFont="1" applyFill="1" applyBorder="1" applyAlignment="1" applyProtection="1">
      <alignment horizontal="center"/>
    </xf>
    <xf numFmtId="165" fontId="5" fillId="2" borderId="16" xfId="8" applyFont="1" applyFill="1" applyBorder="1" applyAlignment="1" applyProtection="1">
      <alignment horizontal="center"/>
    </xf>
    <xf numFmtId="165" fontId="5" fillId="0" borderId="22" xfId="8" applyFont="1" applyBorder="1" applyAlignment="1" applyProtection="1">
      <alignment horizontal="center"/>
    </xf>
    <xf numFmtId="165" fontId="5" fillId="0" borderId="0" xfId="8" applyFont="1" applyAlignment="1" applyProtection="1">
      <alignment horizontal="right" indent="2"/>
    </xf>
    <xf numFmtId="165" fontId="5" fillId="0" borderId="0" xfId="9" applyFont="1" applyAlignment="1" applyProtection="1">
      <alignment horizontal="center"/>
    </xf>
    <xf numFmtId="164" fontId="5" fillId="0" borderId="0" xfId="1" applyNumberFormat="1" applyFont="1" applyBorder="1" applyProtection="1"/>
    <xf numFmtId="164" fontId="5" fillId="0" borderId="0" xfId="1" applyNumberFormat="1" applyFont="1" applyFill="1"/>
    <xf numFmtId="165" fontId="8" fillId="0" borderId="0" xfId="8" applyFont="1"/>
    <xf numFmtId="165" fontId="5" fillId="2" borderId="15" xfId="9" applyFont="1" applyFill="1" applyBorder="1" applyAlignment="1" applyProtection="1">
      <alignment horizontal="center"/>
    </xf>
    <xf numFmtId="3" fontId="17" fillId="2" borderId="9" xfId="9" applyNumberFormat="1" applyFont="1" applyFill="1" applyBorder="1" applyProtection="1"/>
    <xf numFmtId="164" fontId="5" fillId="2" borderId="9" xfId="1" applyNumberFormat="1" applyFont="1" applyFill="1" applyBorder="1" applyProtection="1"/>
    <xf numFmtId="165" fontId="5" fillId="0" borderId="0" xfId="9" applyFont="1" applyProtection="1"/>
    <xf numFmtId="41" fontId="5" fillId="2" borderId="9" xfId="1" applyNumberFormat="1" applyFont="1" applyFill="1" applyBorder="1" applyProtection="1"/>
    <xf numFmtId="165" fontId="5" fillId="2" borderId="16" xfId="9" applyFont="1" applyFill="1" applyBorder="1" applyAlignment="1" applyProtection="1">
      <alignment horizontal="left"/>
    </xf>
    <xf numFmtId="164" fontId="5" fillId="2" borderId="23" xfId="1" applyNumberFormat="1" applyFont="1" applyFill="1" applyBorder="1" applyProtection="1"/>
    <xf numFmtId="41" fontId="5" fillId="2" borderId="9" xfId="9" applyNumberFormat="1" applyFont="1" applyFill="1" applyBorder="1" applyProtection="1"/>
    <xf numFmtId="165" fontId="8" fillId="0" borderId="0" xfId="9" applyFont="1"/>
    <xf numFmtId="165" fontId="5" fillId="0" borderId="0" xfId="9" applyFont="1"/>
    <xf numFmtId="165" fontId="5" fillId="0" borderId="0" xfId="9" applyFont="1" applyAlignment="1">
      <alignment horizontal="centerContinuous"/>
    </xf>
    <xf numFmtId="165" fontId="6" fillId="0" borderId="0" xfId="9" applyFont="1" applyAlignment="1" applyProtection="1">
      <alignment horizontal="center"/>
    </xf>
    <xf numFmtId="49" fontId="6" fillId="0" borderId="3" xfId="9" applyNumberFormat="1" applyFont="1" applyBorder="1" applyAlignment="1" applyProtection="1">
      <alignment horizontal="center"/>
    </xf>
    <xf numFmtId="49" fontId="6" fillId="0" borderId="0" xfId="9" applyNumberFormat="1" applyFont="1" applyBorder="1" applyAlignment="1" applyProtection="1">
      <alignment horizontal="center"/>
    </xf>
    <xf numFmtId="49" fontId="5" fillId="0" borderId="0" xfId="9" applyNumberFormat="1" applyFont="1" applyAlignment="1" applyProtection="1">
      <alignment horizontal="center"/>
    </xf>
    <xf numFmtId="49" fontId="5" fillId="0" borderId="0" xfId="9" quotePrefix="1" applyNumberFormat="1" applyFont="1" applyAlignment="1" applyProtection="1">
      <alignment horizontal="center"/>
    </xf>
    <xf numFmtId="49" fontId="6" fillId="0" borderId="0" xfId="9" applyNumberFormat="1" applyFont="1" applyAlignment="1" applyProtection="1">
      <alignment horizontal="center"/>
    </xf>
    <xf numFmtId="165" fontId="15" fillId="2" borderId="6" xfId="9" applyFont="1" applyFill="1" applyBorder="1" applyAlignment="1" applyProtection="1">
      <alignment horizontal="center"/>
    </xf>
    <xf numFmtId="165" fontId="5" fillId="0" borderId="0" xfId="9" applyFont="1" applyAlignment="1" applyProtection="1">
      <alignment horizontal="left"/>
    </xf>
    <xf numFmtId="41" fontId="5" fillId="2" borderId="9" xfId="9" applyNumberFormat="1" applyFont="1" applyFill="1" applyBorder="1" applyAlignment="1" applyProtection="1">
      <alignment horizontal="right"/>
    </xf>
    <xf numFmtId="165" fontId="5" fillId="0" borderId="0" xfId="9" applyFont="1" applyBorder="1" applyAlignment="1" applyProtection="1">
      <alignment horizontal="center"/>
    </xf>
    <xf numFmtId="49" fontId="5" fillId="0" borderId="0" xfId="1" applyNumberFormat="1" applyFont="1"/>
    <xf numFmtId="10" fontId="0" fillId="0" borderId="16" xfId="10" applyNumberFormat="1" applyFont="1" applyFill="1" applyBorder="1"/>
    <xf numFmtId="10" fontId="0" fillId="0" borderId="22" xfId="10" applyNumberFormat="1" applyFont="1" applyFill="1" applyBorder="1" applyAlignment="1">
      <alignment horizontal="center"/>
    </xf>
    <xf numFmtId="10" fontId="0" fillId="0" borderId="24" xfId="10" applyNumberFormat="1" applyFont="1" applyFill="1" applyBorder="1"/>
    <xf numFmtId="10" fontId="0" fillId="0" borderId="7" xfId="10" applyNumberFormat="1" applyFont="1" applyFill="1" applyBorder="1" applyAlignment="1"/>
    <xf numFmtId="42" fontId="0" fillId="0" borderId="2" xfId="0" applyNumberFormat="1" applyBorder="1"/>
    <xf numFmtId="10" fontId="0" fillId="0" borderId="16" xfId="10" applyNumberFormat="1" applyFont="1" applyFill="1" applyBorder="1" applyAlignment="1">
      <alignment horizontal="center"/>
    </xf>
    <xf numFmtId="10" fontId="0" fillId="0" borderId="16" xfId="10" applyNumberFormat="1" applyFont="1" applyFill="1" applyBorder="1" applyAlignment="1"/>
    <xf numFmtId="167" fontId="5" fillId="2" borderId="25" xfId="10" applyNumberFormat="1" applyFont="1" applyFill="1" applyBorder="1" applyAlignment="1" applyProtection="1">
      <alignment horizontal="center"/>
    </xf>
    <xf numFmtId="0" fontId="0" fillId="0" borderId="9" xfId="0" applyFill="1" applyBorder="1"/>
    <xf numFmtId="0" fontId="0" fillId="0" borderId="9" xfId="0" applyBorder="1"/>
    <xf numFmtId="165" fontId="6" fillId="0" borderId="6" xfId="8" applyFont="1" applyBorder="1" applyAlignment="1" applyProtection="1">
      <alignment horizontal="center"/>
    </xf>
    <xf numFmtId="165" fontId="6" fillId="0" borderId="8" xfId="8" applyFont="1" applyBorder="1" applyAlignment="1" applyProtection="1">
      <alignment horizontal="center"/>
    </xf>
    <xf numFmtId="164" fontId="12" fillId="0" borderId="4" xfId="1" applyNumberFormat="1" applyFont="1" applyBorder="1" applyProtection="1"/>
    <xf numFmtId="164" fontId="8" fillId="0" borderId="0" xfId="1" applyNumberFormat="1" applyFont="1" applyProtection="1"/>
    <xf numFmtId="49" fontId="5" fillId="0" borderId="0" xfId="1" applyNumberFormat="1" applyFont="1" applyProtection="1"/>
    <xf numFmtId="164" fontId="5" fillId="2" borderId="9" xfId="1" applyNumberFormat="1" applyFont="1" applyFill="1" applyBorder="1" applyAlignment="1" applyProtection="1">
      <alignment horizontal="right"/>
    </xf>
    <xf numFmtId="164" fontId="5" fillId="0" borderId="0" xfId="1" applyNumberFormat="1" applyFont="1" applyAlignment="1" applyProtection="1">
      <alignment horizontal="center"/>
    </xf>
    <xf numFmtId="164" fontId="5" fillId="0" borderId="0" xfId="1" applyNumberFormat="1" applyFont="1" applyAlignment="1" applyProtection="1">
      <alignment horizontal="right"/>
    </xf>
    <xf numFmtId="164" fontId="5" fillId="2" borderId="26" xfId="1" applyNumberFormat="1" applyFont="1" applyFill="1" applyBorder="1" applyProtection="1"/>
    <xf numFmtId="41" fontId="5" fillId="2" borderId="13" xfId="8" applyNumberFormat="1" applyFont="1" applyFill="1" applyBorder="1" applyAlignment="1" applyProtection="1"/>
    <xf numFmtId="165" fontId="5" fillId="2" borderId="9" xfId="9" applyFont="1" applyFill="1" applyBorder="1" applyAlignment="1" applyProtection="1">
      <alignment horizontal="center"/>
    </xf>
    <xf numFmtId="2" fontId="5" fillId="2" borderId="9" xfId="9" applyNumberFormat="1" applyFont="1" applyFill="1" applyBorder="1" applyAlignment="1" applyProtection="1">
      <alignment horizontal="center"/>
    </xf>
    <xf numFmtId="41" fontId="5" fillId="2" borderId="9" xfId="9" applyNumberFormat="1" applyFont="1" applyFill="1" applyBorder="1" applyAlignment="1" applyProtection="1">
      <alignment horizontal="center"/>
    </xf>
    <xf numFmtId="41" fontId="5" fillId="2" borderId="29" xfId="8" applyNumberFormat="1" applyFont="1" applyFill="1" applyBorder="1" applyAlignment="1" applyProtection="1"/>
    <xf numFmtId="41" fontId="5" fillId="2" borderId="11" xfId="1" applyNumberFormat="1" applyFont="1" applyFill="1" applyBorder="1" applyProtection="1"/>
    <xf numFmtId="165" fontId="8" fillId="0" borderId="0" xfId="9" applyFont="1" applyProtection="1"/>
    <xf numFmtId="164" fontId="14" fillId="0" borderId="4" xfId="1" applyNumberFormat="1" applyFont="1" applyBorder="1" applyProtection="1"/>
    <xf numFmtId="165" fontId="8" fillId="0" borderId="4" xfId="9" applyFont="1" applyBorder="1" applyAlignment="1" applyProtection="1">
      <alignment horizontal="centerContinuous"/>
    </xf>
    <xf numFmtId="165" fontId="8" fillId="0" borderId="4" xfId="9" applyFont="1" applyBorder="1" applyProtection="1"/>
    <xf numFmtId="165" fontId="5" fillId="0" borderId="0" xfId="9" applyFont="1" applyAlignment="1" applyProtection="1">
      <alignment horizontal="centerContinuous"/>
    </xf>
    <xf numFmtId="0" fontId="5" fillId="0" borderId="0" xfId="0" applyFont="1" applyProtection="1"/>
    <xf numFmtId="165" fontId="6" fillId="0" borderId="30" xfId="8" applyFont="1" applyBorder="1" applyProtection="1"/>
    <xf numFmtId="165" fontId="5" fillId="2" borderId="6" xfId="8" applyFont="1" applyFill="1" applyBorder="1" applyAlignment="1" applyProtection="1">
      <alignment horizontal="center"/>
    </xf>
    <xf numFmtId="165" fontId="5" fillId="0" borderId="18" xfId="8" applyFont="1" applyBorder="1" applyAlignment="1" applyProtection="1">
      <alignment horizontal="center"/>
    </xf>
    <xf numFmtId="165" fontId="6" fillId="0" borderId="31" xfId="8" applyFont="1" applyBorder="1" applyAlignment="1" applyProtection="1">
      <alignment horizontal="center"/>
    </xf>
    <xf numFmtId="165" fontId="5" fillId="2" borderId="32" xfId="9" applyFont="1" applyFill="1" applyBorder="1" applyProtection="1"/>
    <xf numFmtId="165" fontId="5" fillId="0" borderId="6" xfId="8" applyFont="1" applyBorder="1" applyProtection="1"/>
    <xf numFmtId="165" fontId="5" fillId="2" borderId="8" xfId="8" applyFont="1" applyFill="1" applyBorder="1" applyAlignment="1" applyProtection="1">
      <alignment horizontal="center"/>
    </xf>
    <xf numFmtId="165" fontId="5" fillId="0" borderId="7" xfId="8" applyFont="1" applyBorder="1" applyAlignment="1" applyProtection="1">
      <alignment horizontal="center"/>
    </xf>
    <xf numFmtId="165" fontId="6" fillId="0" borderId="33" xfId="8" applyFont="1" applyBorder="1" applyAlignment="1" applyProtection="1">
      <alignment horizontal="center"/>
    </xf>
    <xf numFmtId="165" fontId="15" fillId="2" borderId="25" xfId="9" applyFont="1" applyFill="1" applyBorder="1" applyAlignment="1" applyProtection="1">
      <alignment horizontal="center"/>
    </xf>
    <xf numFmtId="165" fontId="5" fillId="0" borderId="8" xfId="8" applyFont="1" applyBorder="1" applyAlignment="1" applyProtection="1">
      <alignment horizontal="center"/>
    </xf>
    <xf numFmtId="165" fontId="5" fillId="0" borderId="8" xfId="8" applyFont="1" applyBorder="1" applyProtection="1"/>
    <xf numFmtId="165" fontId="5" fillId="0" borderId="16" xfId="8" applyFont="1" applyBorder="1" applyAlignment="1" applyProtection="1">
      <alignment horizontal="center"/>
    </xf>
    <xf numFmtId="173" fontId="5" fillId="0" borderId="0" xfId="9" applyNumberFormat="1" applyFont="1" applyBorder="1" applyProtection="1"/>
    <xf numFmtId="165" fontId="5" fillId="0" borderId="0" xfId="9" applyFont="1" applyBorder="1" applyAlignment="1" applyProtection="1">
      <alignment horizontal="left"/>
    </xf>
    <xf numFmtId="165" fontId="8" fillId="0" borderId="0" xfId="8" applyFont="1" applyProtection="1"/>
    <xf numFmtId="165" fontId="8" fillId="0" borderId="4" xfId="8" applyFont="1" applyBorder="1" applyAlignment="1" applyProtection="1">
      <alignment horizontal="centerContinuous"/>
    </xf>
    <xf numFmtId="165" fontId="8" fillId="0" borderId="0" xfId="8" applyFont="1" applyAlignment="1" applyProtection="1">
      <alignment horizontal="centerContinuous"/>
    </xf>
    <xf numFmtId="165" fontId="5" fillId="0" borderId="0" xfId="8" applyFont="1" applyAlignment="1" applyProtection="1">
      <alignment horizontal="centerContinuous"/>
    </xf>
    <xf numFmtId="165" fontId="6" fillId="0" borderId="0" xfId="8" quotePrefix="1" applyFont="1" applyAlignment="1" applyProtection="1">
      <alignment horizontal="centerContinuous"/>
    </xf>
    <xf numFmtId="165" fontId="5" fillId="0" borderId="0" xfId="8" applyFont="1" applyBorder="1" applyAlignment="1" applyProtection="1">
      <alignment horizontal="centerContinuous"/>
    </xf>
    <xf numFmtId="165" fontId="5" fillId="2" borderId="30" xfId="8" applyFont="1" applyFill="1" applyBorder="1" applyAlignment="1" applyProtection="1">
      <alignment horizontal="center"/>
    </xf>
    <xf numFmtId="165" fontId="5" fillId="2" borderId="0" xfId="8" applyFont="1" applyFill="1" applyBorder="1" applyAlignment="1" applyProtection="1">
      <alignment horizontal="center"/>
    </xf>
    <xf numFmtId="165" fontId="5" fillId="2" borderId="9" xfId="8" applyFont="1" applyFill="1" applyBorder="1" applyAlignment="1" applyProtection="1">
      <alignment horizontal="left"/>
    </xf>
    <xf numFmtId="173" fontId="5" fillId="2" borderId="14" xfId="8" applyNumberFormat="1" applyFont="1" applyFill="1" applyBorder="1" applyAlignment="1" applyProtection="1">
      <alignment horizontal="left"/>
    </xf>
    <xf numFmtId="3" fontId="5" fillId="0" borderId="0" xfId="8" applyNumberFormat="1" applyFont="1" applyProtection="1"/>
    <xf numFmtId="169" fontId="5" fillId="2" borderId="9" xfId="8" applyNumberFormat="1" applyFont="1" applyFill="1" applyBorder="1" applyProtection="1"/>
    <xf numFmtId="2" fontId="5" fillId="0" borderId="0" xfId="8" applyNumberFormat="1" applyFont="1" applyFill="1" applyBorder="1" applyProtection="1"/>
    <xf numFmtId="41" fontId="5" fillId="0" borderId="0" xfId="0" applyNumberFormat="1" applyFont="1" applyProtection="1"/>
    <xf numFmtId="43" fontId="0" fillId="0" borderId="0" xfId="0" applyNumberFormat="1"/>
    <xf numFmtId="43" fontId="0" fillId="0" borderId="0" xfId="0" applyNumberFormat="1" applyFill="1"/>
    <xf numFmtId="43" fontId="5" fillId="2" borderId="9" xfId="9" applyNumberFormat="1" applyFont="1" applyFill="1" applyBorder="1" applyAlignment="1" applyProtection="1">
      <alignment horizontal="center"/>
    </xf>
    <xf numFmtId="164" fontId="5" fillId="2" borderId="16" xfId="1" applyNumberFormat="1" applyFont="1" applyFill="1" applyBorder="1" applyProtection="1"/>
    <xf numFmtId="165" fontId="5" fillId="2" borderId="34" xfId="9" applyFont="1" applyFill="1" applyBorder="1" applyProtection="1"/>
    <xf numFmtId="0" fontId="0" fillId="0" borderId="0" xfId="0" applyFill="1" applyAlignment="1">
      <alignment horizontal="center"/>
    </xf>
    <xf numFmtId="10" fontId="0" fillId="0" borderId="6" xfId="10" applyNumberFormat="1" applyFont="1" applyFill="1" applyBorder="1" applyAlignment="1">
      <alignment horizontal="right"/>
    </xf>
    <xf numFmtId="10" fontId="0" fillId="0" borderId="7" xfId="10" applyNumberFormat="1" applyFont="1" applyFill="1" applyBorder="1" applyAlignment="1">
      <alignment horizontal="right"/>
    </xf>
    <xf numFmtId="10" fontId="0" fillId="0" borderId="8" xfId="10" applyNumberFormat="1" applyFont="1" applyFill="1" applyBorder="1" applyAlignment="1">
      <alignment horizontal="right"/>
    </xf>
    <xf numFmtId="10" fontId="0" fillId="0" borderId="16" xfId="10" applyNumberFormat="1" applyFont="1" applyFill="1" applyBorder="1" applyAlignment="1">
      <alignment horizontal="right"/>
    </xf>
    <xf numFmtId="10" fontId="0" fillId="0" borderId="22" xfId="10" applyNumberFormat="1" applyFont="1" applyFill="1" applyBorder="1" applyAlignment="1">
      <alignment horizontal="right"/>
    </xf>
    <xf numFmtId="10" fontId="0" fillId="0" borderId="0" xfId="10" applyNumberFormat="1" applyFont="1" applyFill="1" applyBorder="1" applyAlignment="1">
      <alignment horizontal="right"/>
    </xf>
    <xf numFmtId="10" fontId="0" fillId="0" borderId="19" xfId="10" applyNumberFormat="1" applyFont="1" applyFill="1" applyBorder="1" applyAlignment="1">
      <alignment horizontal="right"/>
    </xf>
    <xf numFmtId="10" fontId="0" fillId="0" borderId="30" xfId="10" applyNumberFormat="1" applyFont="1" applyFill="1" applyBorder="1" applyAlignment="1">
      <alignment horizontal="right"/>
    </xf>
    <xf numFmtId="10" fontId="0" fillId="0" borderId="18" xfId="10" applyNumberFormat="1" applyFont="1" applyFill="1" applyBorder="1" applyAlignment="1">
      <alignment horizontal="right"/>
    </xf>
    <xf numFmtId="10" fontId="0" fillId="0" borderId="20" xfId="10" applyNumberFormat="1" applyFont="1" applyFill="1" applyBorder="1" applyAlignment="1">
      <alignment horizontal="right"/>
    </xf>
    <xf numFmtId="10" fontId="0" fillId="0" borderId="21" xfId="10" applyNumberFormat="1" applyFont="1" applyFill="1" applyBorder="1" applyAlignment="1">
      <alignment horizontal="right"/>
    </xf>
    <xf numFmtId="10" fontId="0" fillId="0" borderId="3" xfId="10" applyNumberFormat="1" applyFont="1" applyFill="1" applyBorder="1" applyAlignment="1">
      <alignment horizontal="right"/>
    </xf>
    <xf numFmtId="10" fontId="0" fillId="0" borderId="0" xfId="0" applyNumberFormat="1" applyFill="1" applyBorder="1" applyAlignment="1">
      <alignment horizontal="center"/>
    </xf>
    <xf numFmtId="49" fontId="5" fillId="0" borderId="0" xfId="1" applyNumberFormat="1" applyFont="1" applyAlignment="1" applyProtection="1">
      <alignment horizontal="left" indent="1"/>
    </xf>
    <xf numFmtId="165" fontId="6" fillId="2" borderId="6" xfId="9" applyFont="1" applyFill="1" applyBorder="1" applyAlignment="1" applyProtection="1">
      <alignment horizontal="center"/>
    </xf>
    <xf numFmtId="165" fontId="6" fillId="2" borderId="8" xfId="9" applyFont="1" applyFill="1" applyBorder="1" applyAlignment="1" applyProtection="1">
      <alignment horizontal="center"/>
    </xf>
    <xf numFmtId="9" fontId="6" fillId="2" borderId="16" xfId="10" applyFont="1" applyFill="1" applyBorder="1" applyAlignment="1" applyProtection="1">
      <alignment horizontal="center"/>
    </xf>
    <xf numFmtId="176" fontId="0" fillId="0" borderId="20" xfId="10" applyNumberFormat="1" applyFont="1" applyFill="1" applyBorder="1" applyAlignment="1">
      <alignment horizontal="right"/>
    </xf>
    <xf numFmtId="176" fontId="0" fillId="0" borderId="8" xfId="10" applyNumberFormat="1" applyFont="1" applyFill="1" applyBorder="1" applyAlignment="1">
      <alignment horizontal="right"/>
    </xf>
    <xf numFmtId="0" fontId="4" fillId="0" borderId="0" xfId="0" applyFont="1"/>
    <xf numFmtId="175" fontId="5" fillId="2" borderId="9" xfId="1" applyNumberFormat="1" applyFont="1" applyFill="1" applyBorder="1" applyAlignment="1" applyProtection="1">
      <alignment horizontal="center"/>
      <protection locked="0"/>
    </xf>
    <xf numFmtId="164" fontId="5" fillId="3" borderId="6" xfId="1" applyNumberFormat="1" applyFont="1" applyFill="1" applyBorder="1" applyAlignment="1">
      <alignment horizontal="center"/>
    </xf>
    <xf numFmtId="164" fontId="5" fillId="3" borderId="8" xfId="1" applyNumberFormat="1" applyFont="1" applyFill="1" applyBorder="1" applyAlignment="1">
      <alignment horizontal="center"/>
    </xf>
    <xf numFmtId="164" fontId="5" fillId="3" borderId="16" xfId="1" applyNumberFormat="1" applyFont="1" applyFill="1" applyBorder="1" applyAlignment="1">
      <alignment horizontal="center"/>
    </xf>
    <xf numFmtId="164" fontId="5" fillId="8" borderId="0" xfId="1" applyNumberFormat="1" applyFont="1" applyFill="1"/>
    <xf numFmtId="164" fontId="5" fillId="8" borderId="0" xfId="1" applyNumberFormat="1" applyFont="1" applyFill="1" applyProtection="1"/>
    <xf numFmtId="164" fontId="5" fillId="8" borderId="0" xfId="1" applyNumberFormat="1" applyFont="1" applyFill="1" applyBorder="1" applyProtection="1"/>
    <xf numFmtId="164" fontId="16" fillId="8" borderId="37" xfId="1" applyNumberFormat="1" applyFont="1" applyFill="1" applyBorder="1"/>
    <xf numFmtId="164" fontId="5" fillId="8" borderId="0" xfId="1" applyNumberFormat="1" applyFont="1" applyFill="1" applyBorder="1" applyAlignment="1">
      <alignment horizontal="center"/>
    </xf>
    <xf numFmtId="164" fontId="5" fillId="3" borderId="6" xfId="1" applyNumberFormat="1" applyFont="1" applyFill="1" applyBorder="1" applyAlignment="1" applyProtection="1">
      <alignment horizontal="center"/>
    </xf>
    <xf numFmtId="164" fontId="5" fillId="3" borderId="8" xfId="1" applyNumberFormat="1" applyFont="1" applyFill="1" applyBorder="1" applyAlignment="1">
      <alignment horizontal="center" wrapText="1"/>
    </xf>
    <xf numFmtId="164" fontId="5" fillId="3" borderId="8" xfId="1" applyNumberFormat="1" applyFont="1" applyFill="1" applyBorder="1" applyAlignment="1" applyProtection="1">
      <alignment horizontal="left" indent="1"/>
    </xf>
    <xf numFmtId="164" fontId="5" fillId="3" borderId="16" xfId="1" applyNumberFormat="1" applyFont="1" applyFill="1" applyBorder="1" applyProtection="1"/>
    <xf numFmtId="0" fontId="0" fillId="8" borderId="0" xfId="0" applyFill="1" applyBorder="1" applyAlignment="1">
      <alignment vertical="center"/>
    </xf>
    <xf numFmtId="164" fontId="5" fillId="8" borderId="0" xfId="1" applyNumberFormat="1" applyFont="1" applyFill="1" applyBorder="1" applyAlignment="1" applyProtection="1">
      <alignment horizontal="center"/>
    </xf>
    <xf numFmtId="164" fontId="5" fillId="8" borderId="0" xfId="1" applyNumberFormat="1" applyFont="1" applyFill="1" applyBorder="1" applyAlignment="1" applyProtection="1">
      <alignment horizontal="right"/>
    </xf>
    <xf numFmtId="49" fontId="5" fillId="8" borderId="0" xfId="1" applyNumberFormat="1" applyFont="1" applyFill="1" applyProtection="1"/>
    <xf numFmtId="164" fontId="5" fillId="8" borderId="0" xfId="1" applyNumberFormat="1" applyFont="1" applyFill="1" applyAlignment="1" applyProtection="1">
      <alignment horizontal="center"/>
    </xf>
    <xf numFmtId="49" fontId="5" fillId="8" borderId="0" xfId="1" applyNumberFormat="1" applyFont="1" applyFill="1" applyAlignment="1" applyProtection="1">
      <alignment horizontal="center"/>
    </xf>
    <xf numFmtId="49" fontId="6" fillId="8" borderId="0" xfId="1" applyNumberFormat="1" applyFont="1" applyFill="1" applyAlignment="1" applyProtection="1"/>
    <xf numFmtId="164" fontId="6" fillId="8" borderId="0" xfId="1" applyNumberFormat="1" applyFont="1" applyFill="1" applyBorder="1" applyProtection="1"/>
    <xf numFmtId="49" fontId="6" fillId="8" borderId="0" xfId="1" applyNumberFormat="1" applyFont="1" applyFill="1" applyAlignment="1" applyProtection="1">
      <alignment horizontal="center"/>
    </xf>
    <xf numFmtId="164" fontId="6" fillId="8" borderId="0" xfId="1" applyNumberFormat="1" applyFont="1" applyFill="1" applyAlignment="1" applyProtection="1">
      <alignment horizontal="center"/>
    </xf>
    <xf numFmtId="164" fontId="12" fillId="8" borderId="4" xfId="1" applyNumberFormat="1" applyFont="1" applyFill="1" applyBorder="1" applyProtection="1"/>
    <xf numFmtId="164" fontId="8" fillId="8" borderId="4" xfId="1" applyNumberFormat="1" applyFont="1" applyFill="1" applyBorder="1" applyProtection="1"/>
    <xf numFmtId="164" fontId="5" fillId="8" borderId="0" xfId="1" applyNumberFormat="1" applyFont="1" applyFill="1" applyBorder="1" applyAlignment="1" applyProtection="1">
      <alignment horizontal="left" indent="1"/>
    </xf>
    <xf numFmtId="164" fontId="6" fillId="8" borderId="0" xfId="1" applyNumberFormat="1" applyFont="1" applyFill="1" applyBorder="1" applyAlignment="1" applyProtection="1">
      <alignment horizontal="left" indent="1"/>
    </xf>
    <xf numFmtId="164" fontId="5" fillId="8" borderId="4" xfId="1" applyNumberFormat="1" applyFont="1" applyFill="1" applyBorder="1" applyProtection="1"/>
    <xf numFmtId="0" fontId="8" fillId="3" borderId="6" xfId="0" applyFont="1" applyFill="1" applyBorder="1"/>
    <xf numFmtId="0" fontId="8" fillId="3" borderId="16" xfId="0" applyFont="1" applyFill="1" applyBorder="1" applyAlignment="1">
      <alignment horizontal="center"/>
    </xf>
    <xf numFmtId="164" fontId="26" fillId="0" borderId="0" xfId="1" applyNumberFormat="1" applyFont="1"/>
    <xf numFmtId="164" fontId="6" fillId="8" borderId="0" xfId="1" applyNumberFormat="1" applyFont="1" applyFill="1" applyBorder="1" applyAlignment="1" applyProtection="1">
      <alignment horizontal="center"/>
    </xf>
    <xf numFmtId="164" fontId="6" fillId="8" borderId="0" xfId="1" applyNumberFormat="1" applyFont="1" applyFill="1" applyProtection="1"/>
    <xf numFmtId="164" fontId="6" fillId="8" borderId="0" xfId="1" quotePrefix="1" applyNumberFormat="1" applyFont="1" applyFill="1" applyProtection="1"/>
    <xf numFmtId="164" fontId="5" fillId="8" borderId="0" xfId="1" applyNumberFormat="1" applyFont="1" applyFill="1" applyAlignment="1" applyProtection="1"/>
    <xf numFmtId="41" fontId="5" fillId="8" borderId="0" xfId="1" applyNumberFormat="1" applyFont="1" applyFill="1" applyBorder="1" applyProtection="1"/>
    <xf numFmtId="164" fontId="6" fillId="8" borderId="4" xfId="1" quotePrefix="1" applyNumberFormat="1" applyFont="1" applyFill="1" applyBorder="1" applyProtection="1"/>
    <xf numFmtId="164" fontId="5" fillId="0" borderId="4" xfId="1" applyNumberFormat="1" applyFont="1" applyBorder="1" applyProtection="1"/>
    <xf numFmtId="164" fontId="5" fillId="3" borderId="21" xfId="1" applyNumberFormat="1" applyFont="1" applyFill="1" applyBorder="1" applyAlignment="1" applyProtection="1">
      <alignment horizontal="center"/>
    </xf>
    <xf numFmtId="164" fontId="6" fillId="3" borderId="3" xfId="1" applyNumberFormat="1" applyFont="1" applyFill="1" applyBorder="1" applyAlignment="1" applyProtection="1">
      <alignment horizontal="center"/>
    </xf>
    <xf numFmtId="164" fontId="6" fillId="8" borderId="0" xfId="1" quotePrefix="1" applyNumberFormat="1" applyFont="1" applyFill="1" applyAlignment="1" applyProtection="1">
      <alignment horizontal="center"/>
    </xf>
    <xf numFmtId="0" fontId="5" fillId="8" borderId="4" xfId="0" applyFont="1" applyFill="1" applyBorder="1" applyProtection="1"/>
    <xf numFmtId="0" fontId="5" fillId="8" borderId="4" xfId="0" applyFont="1" applyFill="1" applyBorder="1" applyAlignment="1" applyProtection="1">
      <alignment horizontal="center"/>
    </xf>
    <xf numFmtId="164" fontId="6" fillId="8" borderId="0" xfId="1" applyNumberFormat="1" applyFont="1" applyFill="1" applyBorder="1" applyAlignment="1" applyProtection="1"/>
    <xf numFmtId="0" fontId="27" fillId="0" borderId="0" xfId="0" applyFont="1" applyFill="1"/>
    <xf numFmtId="0" fontId="27" fillId="0" borderId="0" xfId="0" applyFont="1"/>
    <xf numFmtId="164" fontId="28" fillId="0" borderId="0" xfId="1" applyNumberFormat="1" applyFont="1" applyFill="1" applyBorder="1"/>
    <xf numFmtId="164" fontId="29" fillId="0" borderId="0" xfId="1" applyNumberFormat="1" applyFont="1" applyFill="1" applyBorder="1"/>
    <xf numFmtId="164" fontId="28" fillId="0" borderId="0" xfId="1" applyNumberFormat="1" applyFont="1" applyFill="1" applyBorder="1" applyAlignment="1">
      <alignment horizontal="right"/>
    </xf>
    <xf numFmtId="0" fontId="28" fillId="0" borderId="0" xfId="0" applyFont="1" applyBorder="1"/>
    <xf numFmtId="0" fontId="27" fillId="0" borderId="0" xfId="0" applyFont="1" applyAlignment="1">
      <alignment horizontal="center"/>
    </xf>
    <xf numFmtId="0" fontId="27" fillId="0" borderId="0" xfId="0" applyFont="1" applyAlignment="1">
      <alignment horizontal="left" indent="1"/>
    </xf>
    <xf numFmtId="41" fontId="27" fillId="0" borderId="0" xfId="0" applyNumberFormat="1" applyFont="1" applyBorder="1"/>
    <xf numFmtId="0" fontId="27" fillId="0" borderId="0" xfId="0" applyFont="1" applyProtection="1">
      <protection locked="0"/>
    </xf>
    <xf numFmtId="9" fontId="27" fillId="0" borderId="0" xfId="10" applyFont="1"/>
    <xf numFmtId="41" fontId="27" fillId="2" borderId="9" xfId="0" applyNumberFormat="1" applyFont="1" applyFill="1" applyBorder="1"/>
    <xf numFmtId="0" fontId="30" fillId="0" borderId="0" xfId="0" applyFont="1"/>
    <xf numFmtId="41" fontId="27" fillId="2" borderId="16" xfId="0" applyNumberFormat="1" applyFont="1" applyFill="1" applyBorder="1"/>
    <xf numFmtId="49" fontId="6" fillId="3" borderId="6" xfId="1" applyNumberFormat="1" applyFont="1" applyFill="1" applyBorder="1" applyAlignment="1" applyProtection="1">
      <alignment horizontal="left"/>
    </xf>
    <xf numFmtId="49" fontId="5" fillId="3" borderId="8" xfId="1" applyNumberFormat="1" applyFont="1" applyFill="1" applyBorder="1" applyAlignment="1" applyProtection="1"/>
    <xf numFmtId="49" fontId="5" fillId="3" borderId="16" xfId="1" applyNumberFormat="1" applyFont="1" applyFill="1" applyBorder="1" applyProtection="1"/>
    <xf numFmtId="164" fontId="3" fillId="0" borderId="37" xfId="1" applyNumberFormat="1" applyFont="1" applyFill="1" applyBorder="1"/>
    <xf numFmtId="164" fontId="31" fillId="0" borderId="37" xfId="1" applyNumberFormat="1" applyFont="1" applyFill="1" applyBorder="1"/>
    <xf numFmtId="164" fontId="3" fillId="0" borderId="37" xfId="1" applyNumberFormat="1" applyFont="1" applyFill="1" applyBorder="1" applyAlignment="1">
      <alignment horizontal="right"/>
    </xf>
    <xf numFmtId="10" fontId="0" fillId="0" borderId="9" xfId="0" applyNumberFormat="1" applyFill="1" applyBorder="1"/>
    <xf numFmtId="42" fontId="0" fillId="0" borderId="2" xfId="0" applyNumberFormat="1" applyFill="1" applyBorder="1"/>
    <xf numFmtId="42" fontId="0" fillId="0" borderId="0" xfId="0" applyNumberFormat="1" applyBorder="1"/>
    <xf numFmtId="176" fontId="0" fillId="0" borderId="7" xfId="10" applyNumberFormat="1" applyFont="1" applyFill="1" applyBorder="1" applyAlignment="1">
      <alignment horizontal="right"/>
    </xf>
    <xf numFmtId="42" fontId="0" fillId="0" borderId="0" xfId="0" applyNumberFormat="1" applyFill="1" applyBorder="1"/>
    <xf numFmtId="0" fontId="12" fillId="0" borderId="0" xfId="0" applyFont="1" applyBorder="1" applyAlignment="1">
      <alignment horizontal="left" indent="1"/>
    </xf>
    <xf numFmtId="0" fontId="0" fillId="0" borderId="0" xfId="0" applyBorder="1" applyAlignment="1">
      <alignment horizontal="center"/>
    </xf>
    <xf numFmtId="0" fontId="0" fillId="0" borderId="0" xfId="0" applyBorder="1" applyAlignment="1" applyProtection="1">
      <alignment horizontal="center"/>
      <protection locked="0"/>
    </xf>
    <xf numFmtId="0" fontId="8" fillId="0" borderId="0" xfId="0" applyFont="1" applyBorder="1"/>
    <xf numFmtId="0" fontId="8" fillId="0" borderId="0" xfId="0" applyFont="1" applyBorder="1" applyAlignment="1">
      <alignment horizontal="left" indent="1"/>
    </xf>
    <xf numFmtId="10" fontId="8" fillId="0" borderId="0" xfId="10" applyNumberFormat="1" applyFont="1" applyFill="1" applyBorder="1" applyAlignment="1">
      <alignment horizontal="right"/>
    </xf>
    <xf numFmtId="10" fontId="8" fillId="0" borderId="0" xfId="10" applyNumberFormat="1" applyFont="1" applyFill="1" applyBorder="1"/>
    <xf numFmtId="10" fontId="8" fillId="0" borderId="0" xfId="10" applyNumberFormat="1" applyFont="1" applyFill="1" applyBorder="1" applyAlignment="1"/>
    <xf numFmtId="0" fontId="8" fillId="0" borderId="0" xfId="0" applyFont="1" applyBorder="1" applyAlignment="1">
      <alignment horizontal="left" indent="2"/>
    </xf>
    <xf numFmtId="0" fontId="8" fillId="0" borderId="0" xfId="0" applyFont="1" applyFill="1" applyBorder="1" applyAlignment="1">
      <alignment horizontal="left" indent="1"/>
    </xf>
    <xf numFmtId="10" fontId="8" fillId="0" borderId="3" xfId="10" applyNumberFormat="1" applyFont="1" applyFill="1" applyBorder="1" applyAlignment="1">
      <alignment horizontal="right"/>
    </xf>
    <xf numFmtId="10" fontId="8" fillId="0" borderId="27" xfId="10" applyNumberFormat="1" applyFont="1" applyFill="1" applyBorder="1"/>
    <xf numFmtId="42" fontId="8" fillId="0" borderId="9" xfId="0" applyNumberFormat="1" applyFont="1" applyFill="1" applyBorder="1"/>
    <xf numFmtId="43" fontId="5" fillId="2" borderId="9" xfId="1" applyNumberFormat="1" applyFont="1" applyFill="1" applyBorder="1" applyProtection="1"/>
    <xf numFmtId="165" fontId="17" fillId="2" borderId="9" xfId="9" applyFont="1" applyFill="1" applyBorder="1" applyProtection="1"/>
    <xf numFmtId="173" fontId="5" fillId="2" borderId="9" xfId="9" applyNumberFormat="1" applyFont="1" applyFill="1" applyBorder="1" applyAlignment="1" applyProtection="1">
      <alignment horizontal="left" indent="1"/>
    </xf>
    <xf numFmtId="41" fontId="5" fillId="2" borderId="12" xfId="1" applyNumberFormat="1" applyFont="1" applyFill="1" applyBorder="1" applyProtection="1"/>
    <xf numFmtId="41" fontId="5" fillId="2" borderId="9" xfId="8" applyNumberFormat="1" applyFont="1" applyFill="1" applyBorder="1" applyAlignment="1" applyProtection="1"/>
    <xf numFmtId="164" fontId="5" fillId="0" borderId="0" xfId="1" applyNumberFormat="1" applyFont="1" applyFill="1" applyProtection="1"/>
    <xf numFmtId="164" fontId="5" fillId="0" borderId="0" xfId="1" applyNumberFormat="1" applyFont="1" applyFill="1" applyAlignment="1" applyProtection="1">
      <alignment horizontal="left" indent="1"/>
    </xf>
    <xf numFmtId="164" fontId="5" fillId="2" borderId="6" xfId="1" applyNumberFormat="1" applyFont="1" applyFill="1" applyBorder="1" applyAlignment="1" applyProtection="1">
      <alignment horizontal="center"/>
    </xf>
    <xf numFmtId="164" fontId="5" fillId="2" borderId="8" xfId="1" applyNumberFormat="1" applyFont="1" applyFill="1" applyBorder="1" applyAlignment="1" applyProtection="1">
      <alignment horizontal="center"/>
    </xf>
    <xf numFmtId="164" fontId="5" fillId="2" borderId="16" xfId="1" applyNumberFormat="1" applyFont="1" applyFill="1" applyBorder="1" applyAlignment="1" applyProtection="1">
      <alignment horizontal="center"/>
    </xf>
    <xf numFmtId="164" fontId="5" fillId="2" borderId="9" xfId="1" applyNumberFormat="1" applyFont="1" applyFill="1" applyBorder="1" applyAlignment="1" applyProtection="1">
      <alignment horizontal="left" indent="1"/>
    </xf>
    <xf numFmtId="0" fontId="6" fillId="0" borderId="0" xfId="0" applyFont="1" applyAlignment="1">
      <alignment horizontal="left" indent="1"/>
    </xf>
    <xf numFmtId="0" fontId="6" fillId="0" borderId="0" xfId="0" applyFont="1" applyAlignment="1"/>
    <xf numFmtId="0" fontId="6" fillId="0" borderId="0" xfId="0" applyFont="1" applyAlignment="1">
      <alignment horizontal="center"/>
    </xf>
    <xf numFmtId="164" fontId="5" fillId="6" borderId="6" xfId="1" applyNumberFormat="1" applyFont="1" applyFill="1" applyBorder="1" applyAlignment="1" applyProtection="1">
      <alignment horizontal="center"/>
    </xf>
    <xf numFmtId="164" fontId="5" fillId="6" borderId="8" xfId="1" applyNumberFormat="1" applyFont="1" applyFill="1" applyBorder="1" applyAlignment="1" applyProtection="1">
      <alignment horizontal="center"/>
    </xf>
    <xf numFmtId="164" fontId="5" fillId="6" borderId="16" xfId="1" applyNumberFormat="1" applyFont="1" applyFill="1" applyBorder="1" applyAlignment="1" applyProtection="1">
      <alignment horizontal="center"/>
    </xf>
    <xf numFmtId="165" fontId="5" fillId="0" borderId="0" xfId="8" applyFont="1" applyProtection="1">
      <protection locked="0"/>
    </xf>
    <xf numFmtId="0" fontId="32" fillId="0" borderId="0" xfId="0" applyFont="1" applyBorder="1"/>
    <xf numFmtId="0" fontId="32" fillId="0" borderId="0" xfId="0" applyFont="1" applyFill="1" applyBorder="1"/>
    <xf numFmtId="49" fontId="5" fillId="6" borderId="6" xfId="1" applyNumberFormat="1" applyFont="1" applyFill="1" applyBorder="1" applyAlignment="1" applyProtection="1">
      <alignment horizontal="center"/>
    </xf>
    <xf numFmtId="164" fontId="27" fillId="6" borderId="16" xfId="1" applyNumberFormat="1" applyFont="1" applyFill="1" applyBorder="1" applyAlignment="1">
      <alignment horizontal="center"/>
    </xf>
    <xf numFmtId="164" fontId="27" fillId="6" borderId="16" xfId="1" applyNumberFormat="1" applyFont="1" applyFill="1" applyBorder="1" applyAlignment="1">
      <alignment horizontal="center" wrapText="1"/>
    </xf>
    <xf numFmtId="164" fontId="8" fillId="0" borderId="4" xfId="1" applyNumberFormat="1" applyFont="1" applyBorder="1"/>
    <xf numFmtId="41" fontId="5" fillId="2" borderId="9" xfId="0" applyNumberFormat="1" applyFont="1" applyFill="1" applyBorder="1"/>
    <xf numFmtId="41" fontId="0" fillId="2" borderId="9" xfId="0" applyNumberFormat="1" applyFill="1" applyBorder="1"/>
    <xf numFmtId="0" fontId="27" fillId="0" borderId="0" xfId="0" applyFont="1" applyAlignment="1">
      <alignment horizontal="right"/>
    </xf>
    <xf numFmtId="0" fontId="27" fillId="0" borderId="0" xfId="0" applyFont="1" applyAlignment="1">
      <alignment horizontal="left"/>
    </xf>
    <xf numFmtId="164" fontId="6" fillId="8" borderId="0" xfId="1" quotePrefix="1" applyNumberFormat="1" applyFont="1" applyFill="1" applyAlignment="1" applyProtection="1"/>
    <xf numFmtId="49" fontId="5" fillId="0" borderId="0" xfId="1" applyNumberFormat="1" applyFont="1" applyFill="1" applyBorder="1" applyAlignment="1" applyProtection="1">
      <alignment horizontal="center"/>
    </xf>
    <xf numFmtId="165" fontId="6" fillId="0" borderId="30" xfId="8" applyFont="1" applyBorder="1" applyAlignment="1" applyProtection="1">
      <alignment horizontal="center"/>
    </xf>
    <xf numFmtId="0" fontId="4" fillId="9" borderId="19" xfId="0" applyFont="1" applyFill="1" applyBorder="1"/>
    <xf numFmtId="0" fontId="0" fillId="9" borderId="30" xfId="0" applyFill="1" applyBorder="1"/>
    <xf numFmtId="0" fontId="3" fillId="9" borderId="30" xfId="0" applyFont="1" applyFill="1" applyBorder="1"/>
    <xf numFmtId="0" fontId="3" fillId="9" borderId="30" xfId="0" applyFont="1" applyFill="1" applyBorder="1" applyAlignment="1">
      <alignment horizontal="center"/>
    </xf>
    <xf numFmtId="0" fontId="3" fillId="9" borderId="18" xfId="0" applyFont="1" applyFill="1" applyBorder="1" applyAlignment="1">
      <alignment horizontal="center"/>
    </xf>
    <xf numFmtId="0" fontId="4" fillId="9" borderId="20" xfId="0" applyFont="1" applyFill="1" applyBorder="1"/>
    <xf numFmtId="0" fontId="0" fillId="9" borderId="0" xfId="0" applyFill="1" applyBorder="1"/>
    <xf numFmtId="0" fontId="4" fillId="9" borderId="0" xfId="0" applyFont="1" applyFill="1" applyBorder="1" applyAlignment="1">
      <alignment horizontal="left" indent="1"/>
    </xf>
    <xf numFmtId="10" fontId="0" fillId="9" borderId="0" xfId="0" applyNumberFormat="1" applyFill="1" applyBorder="1"/>
    <xf numFmtId="10" fontId="0" fillId="9" borderId="7" xfId="0" applyNumberFormat="1" applyFill="1" applyBorder="1"/>
    <xf numFmtId="0" fontId="0" fillId="9" borderId="21" xfId="0" applyFill="1" applyBorder="1"/>
    <xf numFmtId="0" fontId="0" fillId="9" borderId="3" xfId="0" applyFill="1" applyBorder="1"/>
    <xf numFmtId="0" fontId="4" fillId="9" borderId="3" xfId="0" applyFont="1" applyFill="1" applyBorder="1" applyAlignment="1">
      <alignment horizontal="left" indent="1"/>
    </xf>
    <xf numFmtId="6" fontId="0" fillId="9" borderId="3" xfId="0" applyNumberFormat="1" applyFill="1" applyBorder="1"/>
    <xf numFmtId="6" fontId="0" fillId="9" borderId="22" xfId="0" applyNumberFormat="1" applyFill="1" applyBorder="1"/>
    <xf numFmtId="164" fontId="3" fillId="8" borderId="37" xfId="1" applyNumberFormat="1" applyFont="1" applyFill="1" applyBorder="1"/>
    <xf numFmtId="164" fontId="3" fillId="8" borderId="0" xfId="1" applyNumberFormat="1" applyFont="1" applyFill="1" applyBorder="1"/>
    <xf numFmtId="164" fontId="16" fillId="8" borderId="0" xfId="1" applyNumberFormat="1" applyFont="1" applyFill="1" applyBorder="1"/>
    <xf numFmtId="164" fontId="12" fillId="8" borderId="0" xfId="1" applyNumberFormat="1" applyFont="1" applyFill="1" applyBorder="1" applyAlignment="1">
      <alignment horizontal="right"/>
    </xf>
    <xf numFmtId="0" fontId="4" fillId="0" borderId="0" xfId="0" applyFont="1" applyBorder="1" applyAlignment="1">
      <alignment horizontal="left" indent="1"/>
    </xf>
    <xf numFmtId="0" fontId="8" fillId="0" borderId="0" xfId="0" applyFont="1" applyBorder="1" applyAlignment="1">
      <alignment horizontal="right" indent="1"/>
    </xf>
    <xf numFmtId="164" fontId="5" fillId="6" borderId="6" xfId="1" applyNumberFormat="1" applyFont="1" applyFill="1" applyBorder="1" applyAlignment="1">
      <alignment horizontal="center"/>
    </xf>
    <xf numFmtId="164" fontId="5" fillId="0" borderId="0" xfId="1" applyNumberFormat="1" applyFont="1" applyFill="1" applyBorder="1"/>
    <xf numFmtId="0" fontId="7" fillId="9" borderId="9" xfId="0" applyFont="1" applyFill="1" applyBorder="1" applyAlignment="1">
      <alignment horizontal="center" wrapText="1"/>
    </xf>
    <xf numFmtId="0" fontId="7" fillId="9" borderId="9" xfId="0" applyFont="1" applyFill="1" applyBorder="1" applyAlignment="1">
      <alignment horizontal="center"/>
    </xf>
    <xf numFmtId="0" fontId="7" fillId="0" borderId="0" xfId="0" applyFont="1" applyBorder="1"/>
    <xf numFmtId="0" fontId="7" fillId="3" borderId="9" xfId="0" applyFont="1" applyFill="1" applyBorder="1" applyAlignment="1">
      <alignment horizontal="center" wrapText="1"/>
    </xf>
    <xf numFmtId="0" fontId="7" fillId="3" borderId="9" xfId="0" applyFont="1" applyFill="1" applyBorder="1" applyAlignment="1">
      <alignment horizontal="center"/>
    </xf>
    <xf numFmtId="0" fontId="7" fillId="0" borderId="0" xfId="0" applyFont="1"/>
    <xf numFmtId="0" fontId="7" fillId="4" borderId="9" xfId="0" applyFont="1" applyFill="1" applyBorder="1" applyAlignment="1">
      <alignment horizontal="center" wrapText="1"/>
    </xf>
    <xf numFmtId="0" fontId="7" fillId="4" borderId="9" xfId="0" applyFont="1" applyFill="1" applyBorder="1" applyAlignment="1">
      <alignment horizontal="center"/>
    </xf>
    <xf numFmtId="0" fontId="7" fillId="4" borderId="28" xfId="0" applyFont="1" applyFill="1" applyBorder="1" applyAlignment="1">
      <alignment horizontal="center" wrapText="1"/>
    </xf>
    <xf numFmtId="0" fontId="7" fillId="0" borderId="0" xfId="0" applyFont="1" applyFill="1" applyBorder="1"/>
    <xf numFmtId="0" fontId="3" fillId="0" borderId="0" xfId="0" applyFont="1" applyBorder="1"/>
    <xf numFmtId="10" fontId="4" fillId="0" borderId="3" xfId="10" applyNumberFormat="1" applyFont="1" applyFill="1" applyBorder="1" applyAlignment="1">
      <alignment horizontal="right"/>
    </xf>
    <xf numFmtId="0" fontId="4" fillId="0" borderId="0" xfId="0" applyFont="1" applyAlignment="1">
      <alignment horizontal="left"/>
    </xf>
    <xf numFmtId="0" fontId="4" fillId="0" borderId="0" xfId="0" applyFont="1" applyBorder="1" applyProtection="1">
      <protection locked="0"/>
    </xf>
    <xf numFmtId="164" fontId="3" fillId="8" borderId="37" xfId="1" applyNumberFormat="1" applyFont="1" applyFill="1" applyBorder="1" applyAlignment="1">
      <alignment horizontal="right"/>
    </xf>
    <xf numFmtId="0" fontId="4" fillId="0" borderId="0" xfId="0" applyFont="1" applyAlignment="1">
      <alignment horizontal="center"/>
    </xf>
    <xf numFmtId="175" fontId="0" fillId="0" borderId="0" xfId="0" applyNumberFormat="1" applyAlignment="1">
      <alignment horizontal="center"/>
    </xf>
    <xf numFmtId="42" fontId="8" fillId="0" borderId="9" xfId="0" applyNumberFormat="1" applyFont="1" applyFill="1" applyBorder="1" applyAlignment="1">
      <alignment horizontal="center" vertical="center"/>
    </xf>
    <xf numFmtId="164" fontId="5" fillId="0" borderId="0" xfId="1" applyNumberFormat="1" applyFont="1" applyFill="1" applyBorder="1" applyAlignment="1">
      <alignment horizontal="center"/>
    </xf>
    <xf numFmtId="0" fontId="23" fillId="8" borderId="0" xfId="0" applyFont="1" applyFill="1" applyBorder="1" applyAlignment="1">
      <alignment horizontal="right" vertical="center"/>
    </xf>
    <xf numFmtId="49" fontId="6" fillId="0" borderId="0" xfId="9" applyNumberFormat="1" applyFont="1" applyBorder="1" applyAlignment="1" applyProtection="1">
      <alignment horizontal="center"/>
    </xf>
    <xf numFmtId="164" fontId="4" fillId="0" borderId="0" xfId="1" applyNumberFormat="1" applyFont="1"/>
    <xf numFmtId="164" fontId="26" fillId="10" borderId="0" xfId="1" applyNumberFormat="1" applyFont="1" applyFill="1"/>
    <xf numFmtId="164" fontId="5" fillId="10" borderId="0" xfId="1" applyNumberFormat="1" applyFont="1" applyFill="1"/>
    <xf numFmtId="41" fontId="0" fillId="0" borderId="0" xfId="0" applyNumberFormat="1"/>
    <xf numFmtId="41" fontId="0" fillId="0" borderId="0" xfId="0" applyNumberFormat="1" applyAlignment="1">
      <alignment horizontal="left"/>
    </xf>
    <xf numFmtId="41" fontId="12" fillId="0" borderId="0" xfId="0" applyNumberFormat="1" applyFont="1" applyAlignment="1">
      <alignment horizontal="center"/>
    </xf>
    <xf numFmtId="41" fontId="12" fillId="0" borderId="0" xfId="0" applyNumberFormat="1" applyFont="1" applyAlignment="1">
      <alignment horizontal="center" wrapText="1"/>
    </xf>
    <xf numFmtId="165" fontId="6" fillId="0" borderId="0" xfId="9" quotePrefix="1" applyFont="1" applyAlignment="1" applyProtection="1">
      <alignment horizontal="center"/>
    </xf>
    <xf numFmtId="165" fontId="5" fillId="0" borderId="6" xfId="8" applyFont="1" applyBorder="1" applyAlignment="1" applyProtection="1">
      <alignment horizontal="center"/>
    </xf>
    <xf numFmtId="165" fontId="4" fillId="0" borderId="0" xfId="9" applyFont="1"/>
    <xf numFmtId="165" fontId="5" fillId="0" borderId="0" xfId="9" applyFont="1" applyAlignment="1">
      <alignment horizontal="center"/>
    </xf>
    <xf numFmtId="43" fontId="4" fillId="0" borderId="0" xfId="0" applyNumberFormat="1" applyFont="1"/>
    <xf numFmtId="41" fontId="5" fillId="0" borderId="0" xfId="9" applyNumberFormat="1" applyFont="1"/>
    <xf numFmtId="165" fontId="6" fillId="0" borderId="6" xfId="9" quotePrefix="1" applyFont="1" applyBorder="1" applyAlignment="1" applyProtection="1">
      <alignment horizontal="center"/>
    </xf>
    <xf numFmtId="165" fontId="6" fillId="0" borderId="16" xfId="8" applyFont="1" applyFill="1" applyBorder="1" applyAlignment="1" applyProtection="1">
      <alignment horizontal="center"/>
    </xf>
    <xf numFmtId="43" fontId="5" fillId="2" borderId="29" xfId="9" applyNumberFormat="1" applyFont="1" applyFill="1" applyBorder="1" applyAlignment="1" applyProtection="1">
      <alignment horizontal="center"/>
    </xf>
    <xf numFmtId="165" fontId="6" fillId="0" borderId="19" xfId="8" applyFont="1" applyFill="1" applyBorder="1" applyAlignment="1" applyProtection="1">
      <alignment horizontal="center"/>
    </xf>
    <xf numFmtId="165" fontId="6" fillId="0" borderId="6" xfId="8" applyFont="1" applyFill="1" applyBorder="1" applyAlignment="1" applyProtection="1">
      <alignment horizontal="center"/>
    </xf>
    <xf numFmtId="9" fontId="6" fillId="0" borderId="6" xfId="10" applyFont="1" applyFill="1" applyBorder="1" applyAlignment="1" applyProtection="1">
      <alignment horizontal="center"/>
    </xf>
    <xf numFmtId="165" fontId="5" fillId="0" borderId="0" xfId="9" applyFont="1" applyFill="1" applyAlignment="1" applyProtection="1">
      <alignment horizontal="centerContinuous"/>
    </xf>
    <xf numFmtId="165" fontId="6" fillId="0" borderId="6" xfId="8" applyFont="1" applyFill="1" applyBorder="1" applyProtection="1"/>
    <xf numFmtId="165" fontId="6" fillId="0" borderId="30" xfId="8" applyFont="1" applyFill="1" applyBorder="1" applyAlignment="1" applyProtection="1">
      <alignment horizontal="center"/>
    </xf>
    <xf numFmtId="165" fontId="6" fillId="0" borderId="20" xfId="8" applyFont="1" applyFill="1" applyBorder="1" applyAlignment="1" applyProtection="1">
      <alignment horizontal="center"/>
    </xf>
    <xf numFmtId="165" fontId="6" fillId="0" borderId="8" xfId="8" applyFont="1" applyFill="1" applyBorder="1" applyAlignment="1" applyProtection="1">
      <alignment horizontal="center"/>
    </xf>
    <xf numFmtId="165" fontId="6" fillId="0" borderId="8" xfId="8" applyFont="1" applyFill="1" applyBorder="1" applyProtection="1"/>
    <xf numFmtId="165" fontId="6" fillId="0" borderId="0" xfId="8" applyFont="1" applyFill="1" applyBorder="1" applyAlignment="1" applyProtection="1">
      <alignment horizontal="center"/>
    </xf>
    <xf numFmtId="165" fontId="6" fillId="0" borderId="21" xfId="8" applyFont="1" applyFill="1" applyBorder="1" applyAlignment="1" applyProtection="1">
      <alignment horizontal="center"/>
    </xf>
    <xf numFmtId="165" fontId="6" fillId="0" borderId="16" xfId="8" applyFont="1" applyFill="1" applyBorder="1" applyAlignment="1" applyProtection="1">
      <alignment horizontal="left" indent="1"/>
    </xf>
    <xf numFmtId="165" fontId="6" fillId="0" borderId="3" xfId="8" applyFont="1" applyFill="1" applyBorder="1" applyAlignment="1" applyProtection="1">
      <alignment horizontal="center"/>
    </xf>
    <xf numFmtId="41" fontId="5" fillId="11" borderId="21" xfId="9" applyNumberFormat="1" applyFont="1" applyFill="1" applyBorder="1" applyAlignment="1" applyProtection="1">
      <alignment horizontal="center"/>
    </xf>
    <xf numFmtId="41" fontId="5" fillId="2" borderId="21" xfId="9" applyNumberFormat="1" applyFont="1" applyFill="1" applyBorder="1" applyAlignment="1" applyProtection="1">
      <alignment horizontal="center"/>
    </xf>
    <xf numFmtId="164" fontId="5" fillId="0" borderId="18" xfId="1" applyNumberFormat="1" applyFont="1" applyFill="1" applyBorder="1" applyAlignment="1" applyProtection="1">
      <alignment horizontal="center"/>
    </xf>
    <xf numFmtId="41" fontId="5" fillId="0" borderId="20" xfId="9" applyNumberFormat="1" applyFont="1" applyFill="1" applyBorder="1" applyAlignment="1" applyProtection="1">
      <alignment horizontal="center"/>
    </xf>
    <xf numFmtId="41" fontId="5" fillId="0" borderId="8" xfId="9" applyNumberFormat="1" applyFont="1" applyFill="1" applyBorder="1" applyAlignment="1" applyProtection="1">
      <alignment horizontal="center"/>
    </xf>
    <xf numFmtId="164" fontId="5" fillId="0" borderId="7" xfId="1" applyNumberFormat="1" applyFont="1" applyFill="1" applyBorder="1" applyAlignment="1" applyProtection="1">
      <alignment horizontal="center"/>
    </xf>
    <xf numFmtId="41" fontId="5" fillId="0" borderId="21" xfId="9" applyNumberFormat="1" applyFont="1" applyFill="1" applyBorder="1" applyAlignment="1" applyProtection="1">
      <alignment horizontal="center"/>
    </xf>
    <xf numFmtId="41" fontId="5" fillId="0" borderId="16" xfId="9" applyNumberFormat="1" applyFont="1" applyFill="1" applyBorder="1" applyAlignment="1" applyProtection="1">
      <alignment horizontal="center"/>
    </xf>
    <xf numFmtId="164" fontId="5" fillId="0" borderId="22" xfId="1" applyNumberFormat="1" applyFont="1" applyFill="1" applyBorder="1" applyAlignment="1" applyProtection="1">
      <alignment horizontal="center"/>
    </xf>
    <xf numFmtId="41" fontId="5" fillId="11" borderId="6" xfId="9" applyNumberFormat="1" applyFont="1" applyFill="1" applyBorder="1" applyAlignment="1" applyProtection="1">
      <alignment horizontal="center"/>
    </xf>
    <xf numFmtId="41" fontId="5" fillId="11" borderId="8" xfId="9" applyNumberFormat="1" applyFont="1" applyFill="1" applyBorder="1" applyAlignment="1" applyProtection="1">
      <alignment horizontal="center"/>
    </xf>
    <xf numFmtId="41" fontId="5" fillId="11" borderId="16" xfId="9" applyNumberFormat="1" applyFont="1" applyFill="1" applyBorder="1" applyAlignment="1" applyProtection="1">
      <alignment horizontal="center"/>
    </xf>
    <xf numFmtId="0" fontId="4" fillId="0" borderId="0" xfId="0" applyFont="1" applyBorder="1" applyAlignment="1">
      <alignment horizontal="left" indent="2"/>
    </xf>
    <xf numFmtId="42" fontId="8" fillId="0" borderId="0" xfId="0" applyNumberFormat="1" applyFont="1" applyFill="1" applyBorder="1"/>
    <xf numFmtId="42" fontId="8" fillId="0" borderId="0" xfId="0" applyNumberFormat="1" applyFont="1" applyFill="1" applyBorder="1" applyAlignment="1">
      <alignment horizontal="center" vertical="center"/>
    </xf>
    <xf numFmtId="43" fontId="5" fillId="0" borderId="0" xfId="0" applyNumberFormat="1" applyFont="1" applyProtection="1"/>
    <xf numFmtId="41" fontId="5" fillId="2" borderId="5" xfId="1" applyNumberFormat="1" applyFont="1" applyFill="1" applyBorder="1" applyProtection="1"/>
    <xf numFmtId="49" fontId="5" fillId="0" borderId="19" xfId="9" applyNumberFormat="1" applyFont="1" applyFill="1" applyBorder="1" applyAlignment="1" applyProtection="1">
      <alignment horizontal="center"/>
    </xf>
    <xf numFmtId="49" fontId="6" fillId="0" borderId="0" xfId="8" quotePrefix="1" applyNumberFormat="1" applyFont="1" applyAlignment="1" applyProtection="1">
      <alignment horizontal="center"/>
    </xf>
    <xf numFmtId="41" fontId="5" fillId="2" borderId="28" xfId="9" applyNumberFormat="1" applyFont="1" applyFill="1" applyBorder="1" applyAlignment="1" applyProtection="1">
      <alignment horizontal="center"/>
    </xf>
    <xf numFmtId="0" fontId="0" fillId="11" borderId="9" xfId="0" applyFill="1" applyBorder="1" applyAlignment="1">
      <alignment horizontal="center"/>
    </xf>
    <xf numFmtId="0" fontId="5" fillId="0" borderId="0" xfId="0" applyFont="1" applyAlignment="1">
      <alignment horizontal="left" indent="1"/>
    </xf>
    <xf numFmtId="165" fontId="5" fillId="12" borderId="27" xfId="8" applyFont="1" applyFill="1" applyBorder="1" applyProtection="1"/>
    <xf numFmtId="165" fontId="5" fillId="12" borderId="29" xfId="8" applyFont="1" applyFill="1" applyBorder="1" applyProtection="1"/>
    <xf numFmtId="165" fontId="5" fillId="12" borderId="28" xfId="8" applyFont="1" applyFill="1" applyBorder="1" applyProtection="1"/>
    <xf numFmtId="173" fontId="5" fillId="12" borderId="13" xfId="8" applyNumberFormat="1" applyFont="1" applyFill="1" applyBorder="1" applyAlignment="1" applyProtection="1">
      <alignment horizontal="center"/>
      <protection locked="0"/>
    </xf>
    <xf numFmtId="49" fontId="5" fillId="11" borderId="9" xfId="1" applyNumberFormat="1" applyFont="1" applyFill="1" applyBorder="1" applyAlignment="1" applyProtection="1">
      <alignment horizontal="left" indent="1"/>
    </xf>
    <xf numFmtId="164" fontId="5" fillId="11" borderId="9" xfId="1" applyNumberFormat="1" applyFont="1" applyFill="1" applyBorder="1" applyAlignment="1" applyProtection="1">
      <alignment horizontal="left" indent="1"/>
    </xf>
    <xf numFmtId="165" fontId="4" fillId="0" borderId="0" xfId="8" applyFont="1"/>
    <xf numFmtId="165" fontId="5" fillId="0" borderId="0" xfId="8" applyFont="1" applyAlignment="1">
      <alignment horizontal="center"/>
    </xf>
    <xf numFmtId="165" fontId="5" fillId="11" borderId="19" xfId="8" applyFont="1" applyFill="1" applyBorder="1" applyAlignment="1" applyProtection="1">
      <alignment horizontal="left" indent="1"/>
    </xf>
    <xf numFmtId="165" fontId="5" fillId="11" borderId="18" xfId="8" applyFont="1" applyFill="1" applyBorder="1" applyProtection="1"/>
    <xf numFmtId="165" fontId="36" fillId="0" borderId="0" xfId="8" applyFont="1" applyAlignment="1" applyProtection="1">
      <alignment horizontal="center"/>
    </xf>
    <xf numFmtId="165" fontId="5" fillId="12" borderId="9" xfId="8" applyFont="1" applyFill="1" applyBorder="1" applyAlignment="1" applyProtection="1">
      <alignment horizontal="center"/>
      <protection locked="0"/>
    </xf>
    <xf numFmtId="2" fontId="5" fillId="12" borderId="35" xfId="8" applyNumberFormat="1" applyFont="1" applyFill="1" applyBorder="1" applyAlignment="1" applyProtection="1">
      <alignment horizontal="center"/>
      <protection locked="0"/>
    </xf>
    <xf numFmtId="2" fontId="5" fillId="12" borderId="34" xfId="8" applyNumberFormat="1" applyFont="1" applyFill="1" applyBorder="1" applyAlignment="1" applyProtection="1">
      <alignment horizontal="center"/>
      <protection locked="0"/>
    </xf>
    <xf numFmtId="3" fontId="5" fillId="12" borderId="14" xfId="8" applyNumberFormat="1" applyFont="1" applyFill="1" applyBorder="1" applyAlignment="1" applyProtection="1">
      <alignment horizontal="center"/>
      <protection locked="0"/>
    </xf>
    <xf numFmtId="2" fontId="5" fillId="12" borderId="36" xfId="8" applyNumberFormat="1" applyFont="1" applyFill="1" applyBorder="1" applyAlignment="1" applyProtection="1">
      <alignment horizontal="center"/>
      <protection locked="0"/>
    </xf>
    <xf numFmtId="173" fontId="36" fillId="12" borderId="28" xfId="8" applyNumberFormat="1" applyFont="1" applyFill="1" applyBorder="1" applyAlignment="1" applyProtection="1">
      <alignment horizontal="left"/>
    </xf>
    <xf numFmtId="165" fontId="5" fillId="12" borderId="27" xfId="8" applyFont="1" applyFill="1" applyBorder="1" applyAlignment="1" applyProtection="1">
      <alignment horizontal="left"/>
    </xf>
    <xf numFmtId="41" fontId="5" fillId="12" borderId="9" xfId="9" applyNumberFormat="1" applyFont="1" applyFill="1" applyBorder="1" applyAlignment="1" applyProtection="1">
      <alignment horizontal="center"/>
      <protection locked="0"/>
    </xf>
    <xf numFmtId="164" fontId="5" fillId="12" borderId="12" xfId="1" applyNumberFormat="1" applyFont="1" applyFill="1" applyBorder="1" applyProtection="1">
      <protection locked="0"/>
    </xf>
    <xf numFmtId="2" fontId="5" fillId="12" borderId="9" xfId="9" applyNumberFormat="1" applyFont="1" applyFill="1" applyBorder="1" applyAlignment="1" applyProtection="1">
      <alignment horizontal="center"/>
      <protection locked="0"/>
    </xf>
    <xf numFmtId="2" fontId="5" fillId="13" borderId="9" xfId="8" applyNumberFormat="1" applyFont="1" applyFill="1" applyBorder="1" applyAlignment="1" applyProtection="1">
      <alignment horizontal="right"/>
    </xf>
    <xf numFmtId="169" fontId="5" fillId="13" borderId="9" xfId="8" applyNumberFormat="1" applyFont="1" applyFill="1" applyBorder="1" applyProtection="1"/>
    <xf numFmtId="2" fontId="5" fillId="13" borderId="9" xfId="8" applyNumberFormat="1" applyFont="1" applyFill="1" applyBorder="1" applyProtection="1"/>
    <xf numFmtId="2" fontId="5" fillId="13" borderId="9" xfId="9" applyNumberFormat="1" applyFont="1" applyFill="1" applyBorder="1" applyAlignment="1" applyProtection="1">
      <alignment horizontal="right"/>
    </xf>
    <xf numFmtId="41" fontId="5" fillId="13" borderId="9" xfId="9" applyNumberFormat="1" applyFont="1" applyFill="1" applyBorder="1" applyAlignment="1" applyProtection="1">
      <alignment horizontal="right"/>
    </xf>
    <xf numFmtId="175" fontId="23" fillId="14" borderId="9" xfId="0" applyNumberFormat="1" applyFont="1" applyFill="1" applyBorder="1" applyAlignment="1" applyProtection="1">
      <alignment horizontal="center" vertical="center"/>
      <protection locked="0"/>
    </xf>
    <xf numFmtId="164" fontId="5" fillId="12" borderId="9" xfId="1" applyNumberFormat="1" applyFont="1" applyFill="1" applyBorder="1" applyAlignment="1" applyProtection="1">
      <alignment horizontal="left" indent="1"/>
      <protection locked="0"/>
    </xf>
    <xf numFmtId="164" fontId="5" fillId="12" borderId="9" xfId="1" applyNumberFormat="1" applyFont="1" applyFill="1" applyBorder="1" applyAlignment="1" applyProtection="1">
      <alignment horizontal="right"/>
      <protection locked="0"/>
    </xf>
    <xf numFmtId="164" fontId="5" fillId="12" borderId="9" xfId="1" applyNumberFormat="1" applyFont="1" applyFill="1" applyBorder="1" applyAlignment="1" applyProtection="1">
      <alignment horizontal="left"/>
      <protection locked="0"/>
    </xf>
    <xf numFmtId="164" fontId="5" fillId="12" borderId="9" xfId="1" applyNumberFormat="1" applyFont="1" applyFill="1" applyBorder="1" applyAlignment="1" applyProtection="1">
      <alignment horizontal="center"/>
      <protection locked="0"/>
    </xf>
    <xf numFmtId="41" fontId="5" fillId="12" borderId="9" xfId="1" applyNumberFormat="1" applyFont="1" applyFill="1" applyBorder="1" applyProtection="1">
      <protection locked="0"/>
    </xf>
    <xf numFmtId="43" fontId="5" fillId="12" borderId="9" xfId="1" applyNumberFormat="1" applyFont="1" applyFill="1" applyBorder="1" applyProtection="1">
      <protection locked="0"/>
    </xf>
    <xf numFmtId="43" fontId="5" fillId="12" borderId="6" xfId="0" applyNumberFormat="1" applyFont="1" applyFill="1" applyBorder="1" applyProtection="1">
      <protection locked="0"/>
    </xf>
    <xf numFmtId="43" fontId="5" fillId="12" borderId="6" xfId="1" applyNumberFormat="1" applyFont="1" applyFill="1" applyBorder="1" applyProtection="1">
      <protection locked="0"/>
    </xf>
    <xf numFmtId="49" fontId="5" fillId="12" borderId="9" xfId="1" applyNumberFormat="1" applyFont="1" applyFill="1" applyBorder="1" applyAlignment="1" applyProtection="1">
      <alignment horizontal="center"/>
      <protection locked="0"/>
    </xf>
    <xf numFmtId="175" fontId="5" fillId="12" borderId="9" xfId="1" applyNumberFormat="1" applyFont="1" applyFill="1" applyBorder="1" applyAlignment="1" applyProtection="1">
      <alignment horizontal="center"/>
      <protection locked="0"/>
    </xf>
    <xf numFmtId="175" fontId="34" fillId="14" borderId="9" xfId="0" applyNumberFormat="1" applyFont="1" applyFill="1" applyBorder="1" applyAlignment="1" applyProtection="1">
      <alignment horizontal="center" vertical="center"/>
      <protection locked="0"/>
    </xf>
    <xf numFmtId="41" fontId="27" fillId="12" borderId="9" xfId="0" applyNumberFormat="1" applyFont="1" applyFill="1" applyBorder="1" applyProtection="1">
      <protection locked="0"/>
    </xf>
    <xf numFmtId="0" fontId="4" fillId="0" borderId="0" xfId="0" applyFont="1" applyAlignment="1">
      <alignment horizontal="left" indent="1"/>
    </xf>
    <xf numFmtId="177" fontId="8" fillId="0" borderId="0" xfId="0" applyNumberFormat="1" applyFont="1" applyBorder="1" applyAlignment="1">
      <alignment horizontal="right" indent="1"/>
    </xf>
    <xf numFmtId="41" fontId="5" fillId="0" borderId="0" xfId="1" applyNumberFormat="1" applyFont="1" applyProtection="1">
      <protection locked="0"/>
    </xf>
    <xf numFmtId="49" fontId="4" fillId="3" borderId="6" xfId="0" applyNumberFormat="1" applyFont="1" applyFill="1" applyBorder="1" applyAlignment="1">
      <alignment horizontal="center"/>
    </xf>
    <xf numFmtId="164" fontId="5" fillId="15" borderId="50" xfId="1" applyNumberFormat="1" applyFont="1" applyFill="1" applyBorder="1" applyAlignment="1" applyProtection="1">
      <alignment horizontal="center"/>
    </xf>
    <xf numFmtId="164" fontId="5" fillId="15" borderId="8" xfId="1" applyNumberFormat="1" applyFont="1" applyFill="1" applyBorder="1" applyAlignment="1" applyProtection="1">
      <alignment horizontal="center"/>
    </xf>
    <xf numFmtId="164" fontId="5" fillId="15" borderId="16" xfId="1" applyNumberFormat="1" applyFont="1" applyFill="1" applyBorder="1" applyAlignment="1" applyProtection="1">
      <alignment horizontal="center"/>
    </xf>
    <xf numFmtId="164" fontId="3" fillId="0" borderId="4" xfId="1" applyNumberFormat="1" applyFont="1" applyBorder="1" applyAlignment="1" applyProtection="1">
      <alignment horizontal="right"/>
    </xf>
    <xf numFmtId="164" fontId="3" fillId="8" borderId="4" xfId="1" applyNumberFormat="1" applyFont="1" applyFill="1" applyBorder="1" applyAlignment="1" applyProtection="1">
      <alignment horizontal="right"/>
    </xf>
    <xf numFmtId="0" fontId="3" fillId="0" borderId="0" xfId="0" applyFont="1" applyAlignment="1">
      <alignment horizontal="right"/>
    </xf>
    <xf numFmtId="164" fontId="4" fillId="0" borderId="0" xfId="1" applyNumberFormat="1" applyFont="1" applyAlignment="1" applyProtection="1">
      <alignment horizontal="center"/>
    </xf>
    <xf numFmtId="41" fontId="5" fillId="2" borderId="49" xfId="9" applyNumberFormat="1" applyFont="1" applyFill="1" applyBorder="1" applyAlignment="1" applyProtection="1">
      <alignment horizontal="center"/>
    </xf>
    <xf numFmtId="41" fontId="5" fillId="2" borderId="49" xfId="8" applyNumberFormat="1" applyFont="1" applyFill="1" applyBorder="1" applyProtection="1"/>
    <xf numFmtId="165" fontId="5" fillId="12" borderId="9" xfId="8" applyFont="1" applyFill="1" applyBorder="1" applyAlignment="1" applyProtection="1">
      <alignment horizontal="left" vertical="top" wrapText="1"/>
      <protection locked="0"/>
    </xf>
    <xf numFmtId="41" fontId="5" fillId="2" borderId="49" xfId="8" applyNumberFormat="1" applyFont="1" applyFill="1" applyBorder="1" applyAlignment="1" applyProtection="1"/>
    <xf numFmtId="41" fontId="5" fillId="2" borderId="49" xfId="1" applyNumberFormat="1" applyFont="1" applyFill="1" applyBorder="1" applyAlignment="1" applyProtection="1">
      <alignment horizontal="center"/>
    </xf>
    <xf numFmtId="41" fontId="5" fillId="12" borderId="49" xfId="1" applyNumberFormat="1" applyFont="1" applyFill="1" applyBorder="1" applyAlignment="1" applyProtection="1">
      <alignment horizontal="center"/>
      <protection locked="0"/>
    </xf>
    <xf numFmtId="2" fontId="5" fillId="2" borderId="49" xfId="8" applyNumberFormat="1" applyFont="1" applyFill="1" applyBorder="1" applyAlignment="1" applyProtection="1">
      <alignment horizontal="center"/>
    </xf>
    <xf numFmtId="2" fontId="5" fillId="12" borderId="49" xfId="8" applyNumberFormat="1" applyFont="1" applyFill="1" applyBorder="1" applyAlignment="1" applyProtection="1">
      <alignment horizontal="center"/>
      <protection locked="0"/>
    </xf>
    <xf numFmtId="41" fontId="5" fillId="2" borderId="49" xfId="8" applyNumberFormat="1" applyFont="1" applyFill="1" applyBorder="1" applyAlignment="1" applyProtection="1">
      <alignment horizontal="center"/>
    </xf>
    <xf numFmtId="3" fontId="5" fillId="12" borderId="49" xfId="8" applyNumberFormat="1" applyFont="1" applyFill="1" applyBorder="1" applyAlignment="1" applyProtection="1">
      <alignment horizontal="center"/>
      <protection locked="0"/>
    </xf>
    <xf numFmtId="3" fontId="5" fillId="2" borderId="49" xfId="8" applyNumberFormat="1" applyFont="1" applyFill="1" applyBorder="1" applyAlignment="1" applyProtection="1">
      <alignment horizontal="center"/>
    </xf>
    <xf numFmtId="41" fontId="5" fillId="2" borderId="49" xfId="1" applyNumberFormat="1" applyFont="1" applyFill="1" applyBorder="1" applyAlignment="1" applyProtection="1"/>
    <xf numFmtId="41" fontId="5" fillId="12" borderId="49" xfId="8" applyNumberFormat="1" applyFont="1" applyFill="1" applyBorder="1" applyAlignment="1" applyProtection="1">
      <protection locked="0"/>
    </xf>
    <xf numFmtId="41" fontId="5" fillId="2" borderId="49" xfId="8" applyNumberFormat="1" applyFont="1" applyFill="1" applyBorder="1" applyAlignment="1" applyProtection="1">
      <protection locked="0"/>
    </xf>
    <xf numFmtId="49" fontId="5" fillId="0" borderId="6" xfId="9" applyNumberFormat="1" applyFont="1" applyFill="1" applyBorder="1" applyAlignment="1" applyProtection="1">
      <alignment horizontal="center"/>
    </xf>
    <xf numFmtId="0" fontId="5" fillId="0" borderId="0" xfId="0" applyFont="1" applyProtection="1">
      <protection locked="0"/>
    </xf>
    <xf numFmtId="165" fontId="5" fillId="11" borderId="51" xfId="8" applyFont="1" applyFill="1" applyBorder="1" applyAlignment="1" applyProtection="1">
      <alignment horizontal="left" indent="1"/>
    </xf>
    <xf numFmtId="165" fontId="5" fillId="11" borderId="52" xfId="8" applyFont="1" applyFill="1" applyBorder="1" applyProtection="1"/>
    <xf numFmtId="178" fontId="8" fillId="0" borderId="0" xfId="10" applyNumberFormat="1" applyFont="1" applyFill="1" applyBorder="1" applyAlignment="1">
      <alignment horizontal="right"/>
    </xf>
    <xf numFmtId="178" fontId="8" fillId="0" borderId="0" xfId="0" applyNumberFormat="1" applyFont="1" applyBorder="1"/>
    <xf numFmtId="3" fontId="5" fillId="12" borderId="14" xfId="8" applyNumberFormat="1" applyFont="1" applyFill="1" applyBorder="1" applyAlignment="1" applyProtection="1">
      <protection locked="0"/>
    </xf>
    <xf numFmtId="3" fontId="5" fillId="12" borderId="14" xfId="8" applyNumberFormat="1" applyFont="1" applyFill="1" applyBorder="1" applyAlignment="1" applyProtection="1">
      <alignment horizontal="right"/>
      <protection locked="0"/>
    </xf>
    <xf numFmtId="13" fontId="5" fillId="0" borderId="0" xfId="9" applyNumberFormat="1" applyFont="1"/>
    <xf numFmtId="43" fontId="3" fillId="0" borderId="0" xfId="0" applyNumberFormat="1" applyFont="1" applyAlignment="1">
      <alignment horizontal="center" wrapText="1"/>
    </xf>
    <xf numFmtId="43" fontId="3" fillId="0" borderId="0" xfId="0" applyNumberFormat="1" applyFont="1" applyAlignment="1">
      <alignment horizontal="center"/>
    </xf>
    <xf numFmtId="10" fontId="3" fillId="0" borderId="0" xfId="0" applyNumberFormat="1" applyFont="1" applyAlignment="1">
      <alignment horizontal="center" wrapText="1"/>
    </xf>
    <xf numFmtId="43" fontId="38" fillId="0" borderId="0" xfId="0" applyNumberFormat="1" applyFont="1"/>
    <xf numFmtId="37" fontId="3" fillId="0" borderId="0" xfId="0" applyNumberFormat="1" applyFont="1" applyAlignment="1">
      <alignment horizontal="center" wrapText="1"/>
    </xf>
    <xf numFmtId="41" fontId="5" fillId="11" borderId="53" xfId="9" applyNumberFormat="1" applyFont="1" applyFill="1" applyBorder="1" applyAlignment="1" applyProtection="1">
      <alignment horizontal="center"/>
    </xf>
    <xf numFmtId="49" fontId="6" fillId="0" borderId="8" xfId="0" applyNumberFormat="1" applyFont="1" applyBorder="1" applyAlignment="1" applyProtection="1">
      <alignment horizontal="center"/>
    </xf>
    <xf numFmtId="165" fontId="5" fillId="2" borderId="16" xfId="9" applyFont="1" applyFill="1" applyBorder="1" applyAlignment="1" applyProtection="1">
      <alignment horizontal="center"/>
    </xf>
    <xf numFmtId="43" fontId="5" fillId="2" borderId="16" xfId="9" applyNumberFormat="1" applyFont="1" applyFill="1" applyBorder="1" applyAlignment="1" applyProtection="1">
      <alignment horizontal="center"/>
    </xf>
    <xf numFmtId="43" fontId="5" fillId="2" borderId="22" xfId="9" applyNumberFormat="1" applyFont="1" applyFill="1" applyBorder="1" applyAlignment="1" applyProtection="1">
      <alignment horizontal="center"/>
    </xf>
    <xf numFmtId="41" fontId="5" fillId="2" borderId="16" xfId="9" applyNumberFormat="1" applyFont="1" applyFill="1" applyBorder="1" applyProtection="1"/>
    <xf numFmtId="41" fontId="5" fillId="2" borderId="16" xfId="8" applyNumberFormat="1" applyFont="1" applyFill="1" applyBorder="1" applyAlignment="1" applyProtection="1"/>
    <xf numFmtId="41" fontId="5" fillId="2" borderId="17" xfId="1" applyNumberFormat="1" applyFont="1" applyFill="1" applyBorder="1" applyProtection="1"/>
    <xf numFmtId="165" fontId="5" fillId="12" borderId="53" xfId="9" applyFont="1" applyFill="1" applyBorder="1" applyAlignment="1" applyProtection="1">
      <alignment horizontal="center"/>
      <protection locked="0"/>
    </xf>
    <xf numFmtId="41" fontId="5" fillId="2" borderId="53" xfId="9" applyNumberFormat="1" applyFont="1" applyFill="1" applyBorder="1" applyProtection="1"/>
    <xf numFmtId="41" fontId="5" fillId="2" borderId="53" xfId="1" applyNumberFormat="1" applyFont="1" applyFill="1" applyBorder="1" applyProtection="1"/>
    <xf numFmtId="41" fontId="5" fillId="7" borderId="53" xfId="1" applyNumberFormat="1" applyFont="1" applyFill="1" applyBorder="1" applyProtection="1">
      <protection locked="0"/>
    </xf>
    <xf numFmtId="165" fontId="5" fillId="2" borderId="53" xfId="9" applyFont="1" applyFill="1" applyBorder="1" applyAlignment="1" applyProtection="1">
      <alignment horizontal="center"/>
    </xf>
    <xf numFmtId="43" fontId="17" fillId="2" borderId="53" xfId="9" applyNumberFormat="1" applyFont="1" applyFill="1" applyBorder="1" applyProtection="1"/>
    <xf numFmtId="3" fontId="17" fillId="2" borderId="53" xfId="9" applyNumberFormat="1" applyFont="1" applyFill="1" applyBorder="1" applyProtection="1"/>
    <xf numFmtId="41" fontId="5" fillId="2" borderId="53" xfId="1" applyNumberFormat="1" applyFont="1" applyFill="1" applyBorder="1" applyAlignment="1" applyProtection="1">
      <alignment horizontal="center"/>
    </xf>
    <xf numFmtId="43" fontId="40" fillId="13" borderId="0" xfId="0" applyNumberFormat="1" applyFont="1" applyFill="1"/>
    <xf numFmtId="43" fontId="40" fillId="3" borderId="0" xfId="0" applyNumberFormat="1" applyFont="1" applyFill="1"/>
    <xf numFmtId="14" fontId="0" fillId="0" borderId="0" xfId="0" applyNumberFormat="1"/>
    <xf numFmtId="0" fontId="3" fillId="0" borderId="0" xfId="0" applyFont="1"/>
    <xf numFmtId="165" fontId="5" fillId="0" borderId="8" xfId="8" applyFont="1" applyBorder="1" applyAlignment="1" applyProtection="1">
      <alignment horizontal="center"/>
    </xf>
    <xf numFmtId="43" fontId="3" fillId="0" borderId="0" xfId="0" applyNumberFormat="1" applyFont="1" applyAlignment="1">
      <alignment horizontal="center" wrapText="1"/>
    </xf>
    <xf numFmtId="43" fontId="0" fillId="0" borderId="0" xfId="0" applyNumberFormat="1"/>
    <xf numFmtId="43" fontId="0" fillId="3" borderId="0" xfId="0" applyNumberFormat="1" applyFill="1"/>
    <xf numFmtId="43" fontId="0" fillId="0" borderId="0" xfId="0" applyNumberFormat="1" applyFill="1"/>
    <xf numFmtId="41" fontId="5" fillId="2" borderId="53" xfId="8" applyNumberFormat="1" applyFont="1" applyFill="1" applyBorder="1" applyAlignment="1" applyProtection="1"/>
    <xf numFmtId="41" fontId="5" fillId="11" borderId="53" xfId="9" applyNumberFormat="1" applyFont="1" applyFill="1" applyBorder="1" applyAlignment="1" applyProtection="1">
      <alignment horizontal="center"/>
    </xf>
    <xf numFmtId="168" fontId="5" fillId="12" borderId="53" xfId="9" applyNumberFormat="1" applyFont="1" applyFill="1" applyBorder="1" applyAlignment="1" applyProtection="1">
      <alignment horizontal="center"/>
      <protection locked="0"/>
    </xf>
    <xf numFmtId="165" fontId="5" fillId="12" borderId="34" xfId="9" applyFont="1" applyFill="1" applyBorder="1" applyAlignment="1" applyProtection="1">
      <alignment horizontal="center"/>
      <protection locked="0"/>
    </xf>
    <xf numFmtId="165" fontId="5" fillId="12" borderId="55" xfId="8" applyFont="1" applyFill="1" applyBorder="1" applyProtection="1"/>
    <xf numFmtId="3" fontId="5" fillId="2" borderId="53" xfId="8" applyNumberFormat="1" applyFont="1" applyFill="1" applyBorder="1" applyAlignment="1" applyProtection="1">
      <alignment horizontal="center"/>
    </xf>
    <xf numFmtId="41" fontId="5" fillId="2" borderId="51" xfId="9" applyNumberFormat="1" applyFont="1" applyFill="1" applyBorder="1" applyAlignment="1" applyProtection="1">
      <alignment horizontal="center"/>
    </xf>
    <xf numFmtId="165" fontId="5" fillId="2" borderId="54" xfId="8" applyFont="1" applyFill="1" applyBorder="1" applyAlignment="1" applyProtection="1">
      <alignment horizontal="center"/>
    </xf>
    <xf numFmtId="41" fontId="5" fillId="0" borderId="0" xfId="8" applyNumberFormat="1" applyFont="1" applyProtection="1"/>
    <xf numFmtId="41" fontId="5" fillId="0" borderId="0" xfId="8" applyNumberFormat="1" applyFont="1"/>
    <xf numFmtId="41" fontId="5" fillId="0" borderId="0" xfId="8" applyNumberFormat="1" applyFont="1" applyProtection="1">
      <protection locked="0"/>
    </xf>
    <xf numFmtId="41" fontId="5" fillId="0" borderId="0" xfId="9" applyNumberFormat="1" applyFont="1" applyProtection="1">
      <protection locked="0"/>
    </xf>
    <xf numFmtId="167" fontId="38" fillId="0" borderId="49" xfId="0" applyNumberFormat="1" applyFont="1" applyBorder="1" applyAlignment="1" applyProtection="1">
      <alignment horizontal="center"/>
    </xf>
    <xf numFmtId="41" fontId="27" fillId="2" borderId="56" xfId="0" applyNumberFormat="1" applyFont="1" applyFill="1" applyBorder="1"/>
    <xf numFmtId="10" fontId="8" fillId="0" borderId="58" xfId="10" applyNumberFormat="1" applyFont="1" applyFill="1" applyBorder="1" applyAlignment="1"/>
    <xf numFmtId="0" fontId="4" fillId="0" borderId="0" xfId="0" applyFont="1" applyFill="1" applyBorder="1" applyAlignment="1">
      <alignment horizontal="left" indent="1"/>
    </xf>
    <xf numFmtId="165" fontId="5" fillId="12" borderId="57" xfId="8" applyFont="1" applyFill="1" applyBorder="1" applyAlignment="1" applyProtection="1">
      <alignment horizontal="left" wrapText="1"/>
      <protection locked="0"/>
    </xf>
    <xf numFmtId="165" fontId="6" fillId="0" borderId="0" xfId="8" applyFont="1" applyAlignment="1">
      <alignment horizontal="center"/>
    </xf>
    <xf numFmtId="165" fontId="6" fillId="0" borderId="3" xfId="8" quotePrefix="1" applyFont="1" applyBorder="1" applyAlignment="1" applyProtection="1">
      <alignment horizontal="center"/>
    </xf>
    <xf numFmtId="49" fontId="8" fillId="0" borderId="4" xfId="8" applyNumberFormat="1" applyFont="1" applyBorder="1" applyAlignment="1" applyProtection="1">
      <alignment horizontal="centerContinuous"/>
    </xf>
    <xf numFmtId="49" fontId="5" fillId="0" borderId="0" xfId="8" applyNumberFormat="1" applyFont="1" applyAlignment="1" applyProtection="1">
      <alignment horizontal="centerContinuous"/>
    </xf>
    <xf numFmtId="49" fontId="0" fillId="0" borderId="0" xfId="0" applyNumberFormat="1"/>
    <xf numFmtId="49" fontId="5" fillId="0" borderId="0" xfId="8" applyNumberFormat="1" applyFont="1" applyProtection="1"/>
    <xf numFmtId="49" fontId="6" fillId="0" borderId="3" xfId="8" applyNumberFormat="1" applyFont="1" applyBorder="1" applyAlignment="1" applyProtection="1">
      <alignment horizontal="center"/>
    </xf>
    <xf numFmtId="49" fontId="6" fillId="0" borderId="8" xfId="8" applyNumberFormat="1" applyFont="1" applyBorder="1" applyAlignment="1" applyProtection="1">
      <alignment horizontal="center"/>
    </xf>
    <xf numFmtId="49" fontId="6" fillId="0" borderId="16" xfId="8" applyNumberFormat="1" applyFont="1" applyFill="1" applyBorder="1" applyAlignment="1" applyProtection="1">
      <alignment horizontal="center"/>
    </xf>
    <xf numFmtId="49" fontId="5" fillId="12" borderId="13" xfId="8" applyNumberFormat="1" applyFont="1" applyFill="1" applyBorder="1" applyAlignment="1" applyProtection="1">
      <alignment horizontal="center"/>
      <protection locked="0"/>
    </xf>
    <xf numFmtId="49" fontId="5" fillId="12" borderId="27" xfId="8" applyNumberFormat="1" applyFont="1" applyFill="1" applyBorder="1" applyAlignment="1" applyProtection="1">
      <alignment horizontal="center"/>
    </xf>
    <xf numFmtId="49" fontId="5" fillId="0" borderId="0" xfId="8" applyNumberFormat="1" applyFont="1"/>
    <xf numFmtId="165" fontId="5" fillId="12" borderId="61" xfId="8" applyFont="1" applyFill="1" applyBorder="1" applyProtection="1"/>
    <xf numFmtId="173" fontId="5" fillId="12" borderId="57" xfId="9" applyNumberFormat="1" applyFont="1" applyFill="1" applyBorder="1" applyAlignment="1" applyProtection="1">
      <alignment horizontal="center"/>
      <protection locked="0"/>
    </xf>
    <xf numFmtId="165" fontId="5" fillId="12" borderId="57" xfId="9" applyFont="1" applyFill="1" applyBorder="1" applyAlignment="1" applyProtection="1">
      <alignment wrapText="1"/>
      <protection locked="0"/>
    </xf>
    <xf numFmtId="165" fontId="5" fillId="12" borderId="62" xfId="9" applyFont="1" applyFill="1" applyBorder="1" applyAlignment="1" applyProtection="1">
      <alignment wrapText="1"/>
      <protection locked="0"/>
    </xf>
    <xf numFmtId="168" fontId="5" fillId="12" borderId="63" xfId="9" applyNumberFormat="1" applyFont="1" applyFill="1" applyBorder="1" applyAlignment="1" applyProtection="1">
      <alignment horizontal="center"/>
      <protection locked="0"/>
    </xf>
    <xf numFmtId="165" fontId="5" fillId="12" borderId="62" xfId="9" applyFont="1" applyFill="1" applyBorder="1" applyAlignment="1" applyProtection="1">
      <alignment horizontal="center"/>
      <protection locked="0"/>
    </xf>
    <xf numFmtId="41" fontId="5" fillId="2" borderId="57" xfId="9" applyNumberFormat="1" applyFont="1" applyFill="1" applyBorder="1" applyProtection="1"/>
    <xf numFmtId="49" fontId="6" fillId="0" borderId="0" xfId="9" applyNumberFormat="1" applyFont="1" applyBorder="1" applyAlignment="1" applyProtection="1"/>
    <xf numFmtId="41" fontId="5" fillId="2" borderId="63" xfId="9" applyNumberFormat="1" applyFont="1" applyFill="1" applyBorder="1" applyProtection="1"/>
    <xf numFmtId="41" fontId="5" fillId="2" borderId="61" xfId="9" applyNumberFormat="1" applyFont="1" applyFill="1" applyBorder="1" applyProtection="1"/>
    <xf numFmtId="10" fontId="0" fillId="0" borderId="54" xfId="10" applyNumberFormat="1" applyFont="1" applyFill="1" applyBorder="1" applyAlignment="1">
      <alignment horizontal="right"/>
    </xf>
    <xf numFmtId="10" fontId="8" fillId="0" borderId="3" xfId="10" applyNumberFormat="1" applyFont="1" applyFill="1" applyBorder="1"/>
    <xf numFmtId="10" fontId="8" fillId="0" borderId="3" xfId="10" applyNumberFormat="1" applyFont="1" applyFill="1" applyBorder="1" applyAlignment="1"/>
    <xf numFmtId="0" fontId="7" fillId="0" borderId="9" xfId="0" applyFont="1" applyFill="1" applyBorder="1" applyAlignment="1">
      <alignment horizontal="center" wrapText="1"/>
    </xf>
    <xf numFmtId="164" fontId="5" fillId="13" borderId="22" xfId="1" applyNumberFormat="1" applyFont="1" applyFill="1" applyBorder="1" applyAlignment="1" applyProtection="1">
      <alignment horizontal="center"/>
    </xf>
    <xf numFmtId="9" fontId="27" fillId="0" borderId="0" xfId="10" applyFont="1" applyProtection="1"/>
    <xf numFmtId="167" fontId="38" fillId="0" borderId="49" xfId="0" applyNumberFormat="1" applyFont="1" applyBorder="1" applyAlignment="1" applyProtection="1">
      <alignment horizontal="center"/>
      <protection locked="0"/>
    </xf>
    <xf numFmtId="167" fontId="38" fillId="0" borderId="0" xfId="0" applyNumberFormat="1" applyFont="1" applyBorder="1" applyAlignment="1" applyProtection="1">
      <alignment horizontal="center"/>
    </xf>
    <xf numFmtId="178" fontId="8" fillId="0" borderId="58" xfId="10" applyNumberFormat="1" applyFont="1" applyFill="1" applyBorder="1"/>
    <xf numFmtId="178" fontId="8" fillId="0" borderId="58" xfId="10" applyNumberFormat="1" applyFont="1" applyFill="1" applyBorder="1" applyAlignment="1"/>
    <xf numFmtId="178" fontId="8" fillId="0" borderId="27" xfId="10" applyNumberFormat="1" applyFont="1" applyFill="1" applyBorder="1"/>
    <xf numFmtId="42" fontId="4" fillId="0" borderId="9" xfId="0" applyNumberFormat="1" applyFont="1" applyFill="1" applyBorder="1" applyAlignment="1">
      <alignment horizontal="center" vertical="center"/>
    </xf>
    <xf numFmtId="43" fontId="0" fillId="18" borderId="0" xfId="0" applyNumberFormat="1" applyFill="1"/>
    <xf numFmtId="0" fontId="0" fillId="18" borderId="0" xfId="0" applyFill="1"/>
    <xf numFmtId="10" fontId="40" fillId="0" borderId="0" xfId="0" applyNumberFormat="1" applyFont="1" applyAlignment="1">
      <alignment horizontal="center" wrapText="1"/>
    </xf>
    <xf numFmtId="0" fontId="38" fillId="0" borderId="0" xfId="0" applyFont="1"/>
    <xf numFmtId="41" fontId="4" fillId="0" borderId="0" xfId="9" applyNumberFormat="1" applyFont="1" applyProtection="1">
      <protection locked="0"/>
    </xf>
    <xf numFmtId="41" fontId="4" fillId="0" borderId="0" xfId="8" applyNumberFormat="1" applyFont="1" applyProtection="1">
      <protection locked="0"/>
    </xf>
    <xf numFmtId="43" fontId="5" fillId="0" borderId="0" xfId="9" applyNumberFormat="1" applyFont="1" applyProtection="1">
      <protection locked="0"/>
    </xf>
    <xf numFmtId="43" fontId="4" fillId="0" borderId="0" xfId="9" applyNumberFormat="1" applyFont="1" applyProtection="1">
      <protection locked="0"/>
    </xf>
    <xf numFmtId="43" fontId="3" fillId="0" borderId="0" xfId="0" applyNumberFormat="1" applyFont="1"/>
    <xf numFmtId="165" fontId="8" fillId="9" borderId="0" xfId="8" applyFont="1" applyFill="1"/>
    <xf numFmtId="165" fontId="5" fillId="9" borderId="0" xfId="8" applyFont="1" applyFill="1"/>
    <xf numFmtId="165" fontId="6" fillId="9" borderId="0" xfId="8" applyFont="1" applyFill="1" applyAlignment="1">
      <alignment horizontal="center"/>
    </xf>
    <xf numFmtId="164" fontId="5" fillId="8" borderId="0" xfId="1" applyNumberFormat="1" applyFont="1" applyFill="1" applyAlignment="1" applyProtection="1">
      <alignment horizontal="left"/>
    </xf>
    <xf numFmtId="164" fontId="5" fillId="8" borderId="0" xfId="1" applyNumberFormat="1" applyFont="1" applyFill="1" applyAlignment="1" applyProtection="1"/>
    <xf numFmtId="164" fontId="6" fillId="8" borderId="0" xfId="1" applyNumberFormat="1" applyFont="1" applyFill="1" applyAlignment="1" applyProtection="1"/>
    <xf numFmtId="41" fontId="5" fillId="0" borderId="0" xfId="1" applyNumberFormat="1" applyFont="1" applyProtection="1"/>
    <xf numFmtId="41" fontId="5" fillId="8" borderId="0" xfId="1" applyNumberFormat="1" applyFont="1" applyFill="1" applyProtection="1"/>
    <xf numFmtId="41" fontId="24" fillId="2" borderId="9" xfId="1" applyNumberFormat="1" applyFont="1" applyFill="1" applyBorder="1" applyProtection="1"/>
    <xf numFmtId="43" fontId="5" fillId="8" borderId="0" xfId="1" applyNumberFormat="1" applyFont="1" applyFill="1" applyProtection="1"/>
    <xf numFmtId="164" fontId="5" fillId="19" borderId="6" xfId="1" applyNumberFormat="1" applyFont="1" applyFill="1" applyBorder="1" applyAlignment="1">
      <alignment horizontal="center"/>
    </xf>
    <xf numFmtId="41" fontId="5" fillId="19" borderId="9" xfId="0" applyNumberFormat="1" applyFont="1" applyFill="1" applyBorder="1"/>
    <xf numFmtId="165" fontId="6" fillId="20" borderId="6" xfId="9" applyFont="1" applyFill="1" applyBorder="1" applyAlignment="1" applyProtection="1">
      <alignment horizontal="center"/>
    </xf>
    <xf numFmtId="165" fontId="6" fillId="20" borderId="8" xfId="9" applyFont="1" applyFill="1" applyBorder="1" applyAlignment="1" applyProtection="1">
      <alignment horizontal="center"/>
    </xf>
    <xf numFmtId="167" fontId="6" fillId="20" borderId="16" xfId="10" applyNumberFormat="1" applyFont="1" applyFill="1" applyBorder="1" applyAlignment="1" applyProtection="1">
      <alignment horizontal="center"/>
    </xf>
    <xf numFmtId="0" fontId="7" fillId="0" borderId="0" xfId="0" applyFont="1" applyBorder="1" applyAlignment="1">
      <alignment horizontal="left" indent="2"/>
    </xf>
    <xf numFmtId="42" fontId="4" fillId="0" borderId="0" xfId="0" applyNumberFormat="1" applyFont="1" applyFill="1" applyBorder="1" applyAlignment="1">
      <alignment horizontal="center" vertical="center"/>
    </xf>
    <xf numFmtId="165" fontId="5" fillId="11" borderId="68" xfId="8" applyFont="1" applyFill="1" applyBorder="1" applyAlignment="1" applyProtection="1">
      <alignment horizontal="left" indent="1"/>
    </xf>
    <xf numFmtId="165" fontId="5" fillId="11" borderId="69" xfId="8" applyFont="1" applyFill="1" applyBorder="1" applyProtection="1"/>
    <xf numFmtId="41" fontId="0" fillId="0" borderId="0" xfId="0" applyNumberFormat="1" applyBorder="1" applyProtection="1">
      <protection locked="0"/>
    </xf>
    <xf numFmtId="41" fontId="0" fillId="0" borderId="3" xfId="0" applyNumberFormat="1" applyBorder="1" applyProtection="1">
      <protection locked="0"/>
    </xf>
    <xf numFmtId="0" fontId="3" fillId="9" borderId="67" xfId="0" applyFont="1" applyFill="1" applyBorder="1" applyAlignment="1">
      <alignment horizontal="left" indent="1"/>
    </xf>
    <xf numFmtId="0" fontId="3" fillId="9" borderId="67" xfId="0" applyFont="1" applyFill="1" applyBorder="1" applyAlignment="1">
      <alignment horizontal="center"/>
    </xf>
    <xf numFmtId="41" fontId="4" fillId="22" borderId="68" xfId="0" applyNumberFormat="1" applyFont="1" applyFill="1" applyBorder="1" applyAlignment="1" applyProtection="1">
      <alignment horizontal="left" vertical="top"/>
      <protection locked="0"/>
    </xf>
    <xf numFmtId="41" fontId="0" fillId="22" borderId="67" xfId="0" applyNumberFormat="1" applyFill="1" applyBorder="1" applyProtection="1">
      <protection locked="0"/>
    </xf>
    <xf numFmtId="41" fontId="0" fillId="22" borderId="54" xfId="0" applyNumberFormat="1" applyFill="1" applyBorder="1" applyProtection="1">
      <protection locked="0"/>
    </xf>
    <xf numFmtId="41" fontId="0" fillId="22" borderId="16" xfId="0" applyNumberFormat="1" applyFill="1" applyBorder="1" applyProtection="1">
      <protection locked="0"/>
    </xf>
    <xf numFmtId="41" fontId="0" fillId="22" borderId="8" xfId="0" applyNumberFormat="1" applyFill="1" applyBorder="1" applyProtection="1">
      <protection locked="0"/>
    </xf>
    <xf numFmtId="41" fontId="4" fillId="22" borderId="54" xfId="0" applyNumberFormat="1" applyFont="1" applyFill="1" applyBorder="1" applyProtection="1">
      <protection locked="0"/>
    </xf>
    <xf numFmtId="41" fontId="4" fillId="22" borderId="16" xfId="0" applyNumberFormat="1" applyFont="1" applyFill="1" applyBorder="1" applyProtection="1">
      <protection locked="0"/>
    </xf>
    <xf numFmtId="41" fontId="4" fillId="24" borderId="54" xfId="0" applyNumberFormat="1" applyFont="1" applyFill="1" applyBorder="1" applyProtection="1">
      <protection locked="0"/>
    </xf>
    <xf numFmtId="41" fontId="0" fillId="24" borderId="8" xfId="0" applyNumberFormat="1" applyFill="1" applyBorder="1" applyProtection="1">
      <protection locked="0"/>
    </xf>
    <xf numFmtId="41" fontId="0" fillId="24" borderId="16" xfId="0" applyNumberFormat="1" applyFill="1" applyBorder="1" applyProtection="1">
      <protection locked="0"/>
    </xf>
    <xf numFmtId="41" fontId="0" fillId="21" borderId="54" xfId="0" applyNumberFormat="1" applyFill="1" applyBorder="1" applyProtection="1">
      <protection locked="0"/>
    </xf>
    <xf numFmtId="41" fontId="0" fillId="21" borderId="8" xfId="0" applyNumberFormat="1" applyFill="1" applyBorder="1" applyProtection="1">
      <protection locked="0"/>
    </xf>
    <xf numFmtId="41" fontId="0" fillId="21" borderId="16" xfId="0" applyNumberFormat="1" applyFill="1" applyBorder="1" applyProtection="1">
      <protection locked="0"/>
    </xf>
    <xf numFmtId="41" fontId="4" fillId="12" borderId="69" xfId="0" applyNumberFormat="1" applyFont="1" applyFill="1" applyBorder="1" applyProtection="1">
      <protection locked="0"/>
    </xf>
    <xf numFmtId="41" fontId="4" fillId="12" borderId="66" xfId="0" applyNumberFormat="1" applyFont="1" applyFill="1" applyBorder="1" applyProtection="1">
      <protection locked="0"/>
    </xf>
    <xf numFmtId="41" fontId="4" fillId="12" borderId="22" xfId="0" applyNumberFormat="1" applyFont="1" applyFill="1" applyBorder="1" applyProtection="1">
      <protection locked="0"/>
    </xf>
    <xf numFmtId="41" fontId="4" fillId="12" borderId="7" xfId="0" applyNumberFormat="1" applyFont="1" applyFill="1" applyBorder="1" applyProtection="1">
      <protection locked="0"/>
    </xf>
    <xf numFmtId="175" fontId="0" fillId="0" borderId="20" xfId="0" applyNumberFormat="1" applyBorder="1" applyAlignment="1" applyProtection="1">
      <alignment horizontal="center"/>
      <protection locked="0"/>
    </xf>
    <xf numFmtId="41" fontId="0" fillId="0" borderId="7" xfId="0" applyNumberFormat="1" applyBorder="1" applyProtection="1">
      <protection locked="0"/>
    </xf>
    <xf numFmtId="175" fontId="0" fillId="0" borderId="21" xfId="0" applyNumberFormat="1" applyBorder="1" applyAlignment="1" applyProtection="1">
      <alignment horizontal="center"/>
      <protection locked="0"/>
    </xf>
    <xf numFmtId="41" fontId="0" fillId="0" borderId="22" xfId="0" applyNumberFormat="1" applyBorder="1" applyProtection="1">
      <protection locked="0"/>
    </xf>
    <xf numFmtId="0" fontId="5" fillId="0" borderId="0" xfId="0" applyFont="1" applyAlignment="1">
      <alignment horizontal="right" vertical="center" indent="1"/>
    </xf>
    <xf numFmtId="0" fontId="7" fillId="0" borderId="0" xfId="0" quotePrefix="1" applyFont="1" applyFill="1" applyBorder="1"/>
    <xf numFmtId="0" fontId="3" fillId="0" borderId="0" xfId="0" applyFont="1" applyFill="1" applyBorder="1"/>
    <xf numFmtId="0" fontId="3" fillId="16" borderId="67" xfId="0" applyFont="1" applyFill="1" applyBorder="1"/>
    <xf numFmtId="175" fontId="3" fillId="16" borderId="67" xfId="0" applyNumberFormat="1" applyFont="1" applyFill="1" applyBorder="1" applyAlignment="1">
      <alignment horizontal="left" indent="1"/>
    </xf>
    <xf numFmtId="42" fontId="7" fillId="0" borderId="9" xfId="0" applyNumberFormat="1" applyFont="1" applyFill="1" applyBorder="1" applyAlignment="1">
      <alignment horizontal="center" vertical="center"/>
    </xf>
    <xf numFmtId="165" fontId="15" fillId="2" borderId="20" xfId="9" applyFont="1" applyFill="1" applyBorder="1" applyAlignment="1" applyProtection="1">
      <alignment horizontal="center"/>
    </xf>
    <xf numFmtId="165" fontId="6" fillId="0" borderId="21" xfId="9" applyFont="1" applyFill="1" applyBorder="1" applyAlignment="1" applyProtection="1">
      <alignment horizontal="center"/>
    </xf>
    <xf numFmtId="165" fontId="5" fillId="0" borderId="16" xfId="9" applyFont="1" applyFill="1" applyBorder="1" applyAlignment="1" applyProtection="1">
      <alignment horizontal="center"/>
    </xf>
    <xf numFmtId="41" fontId="3" fillId="12" borderId="80" xfId="9" applyNumberFormat="1" applyFont="1" applyFill="1" applyBorder="1" applyAlignment="1" applyProtection="1">
      <alignment horizontal="center"/>
      <protection locked="0"/>
    </xf>
    <xf numFmtId="41" fontId="5" fillId="12" borderId="53" xfId="9" applyNumberFormat="1" applyFont="1" applyFill="1" applyBorder="1" applyAlignment="1" applyProtection="1">
      <alignment horizontal="center"/>
      <protection locked="0"/>
    </xf>
    <xf numFmtId="10" fontId="8" fillId="0" borderId="0" xfId="0" applyNumberFormat="1" applyFont="1" applyBorder="1"/>
    <xf numFmtId="10" fontId="8" fillId="0" borderId="58" xfId="10" applyNumberFormat="1" applyFont="1" applyFill="1" applyBorder="1"/>
    <xf numFmtId="165" fontId="5" fillId="0" borderId="0" xfId="9" applyFont="1" applyFill="1" applyBorder="1" applyAlignment="1" applyProtection="1">
      <alignment horizontal="center"/>
    </xf>
    <xf numFmtId="41" fontId="5" fillId="2" borderId="79" xfId="9" applyNumberFormat="1" applyFont="1" applyFill="1" applyBorder="1" applyProtection="1"/>
    <xf numFmtId="41" fontId="5" fillId="2" borderId="80" xfId="9" applyNumberFormat="1" applyFont="1" applyFill="1" applyBorder="1" applyProtection="1"/>
    <xf numFmtId="41" fontId="5" fillId="2" borderId="77" xfId="9" applyNumberFormat="1" applyFont="1" applyFill="1" applyBorder="1" applyProtection="1"/>
    <xf numFmtId="41" fontId="5" fillId="2" borderId="74" xfId="9" applyNumberFormat="1" applyFont="1" applyFill="1" applyBorder="1" applyProtection="1"/>
    <xf numFmtId="49" fontId="6" fillId="0" borderId="81" xfId="9" applyNumberFormat="1" applyFont="1" applyBorder="1" applyAlignment="1" applyProtection="1">
      <alignment horizontal="center"/>
    </xf>
    <xf numFmtId="49" fontId="6" fillId="0" borderId="81" xfId="9" applyNumberFormat="1" applyFont="1" applyBorder="1" applyAlignment="1" applyProtection="1"/>
    <xf numFmtId="165" fontId="6" fillId="0" borderId="78" xfId="9" applyFont="1" applyFill="1" applyBorder="1" applyAlignment="1" applyProtection="1">
      <alignment horizontal="center"/>
    </xf>
    <xf numFmtId="165" fontId="5" fillId="0" borderId="8" xfId="9" applyFont="1" applyFill="1" applyBorder="1" applyAlignment="1" applyProtection="1">
      <alignment horizontal="center"/>
    </xf>
    <xf numFmtId="41" fontId="5" fillId="11" borderId="79" xfId="9" applyNumberFormat="1" applyFont="1" applyFill="1" applyBorder="1" applyProtection="1"/>
    <xf numFmtId="165" fontId="5" fillId="11" borderId="8" xfId="9" applyFont="1" applyFill="1" applyBorder="1" applyAlignment="1" applyProtection="1">
      <alignment horizontal="center"/>
    </xf>
    <xf numFmtId="165" fontId="5" fillId="11" borderId="16" xfId="9" applyFont="1" applyFill="1" applyBorder="1" applyAlignment="1" applyProtection="1">
      <alignment horizontal="center"/>
    </xf>
    <xf numFmtId="165" fontId="8" fillId="9" borderId="0" xfId="9" applyFont="1" applyFill="1"/>
    <xf numFmtId="165" fontId="5" fillId="9" borderId="0" xfId="9" applyFont="1" applyFill="1"/>
    <xf numFmtId="41" fontId="4" fillId="12" borderId="73" xfId="9" applyNumberFormat="1" applyFont="1" applyFill="1" applyBorder="1" applyAlignment="1" applyProtection="1">
      <alignment horizontal="left" indent="1"/>
      <protection locked="0"/>
    </xf>
    <xf numFmtId="175" fontId="0" fillId="0" borderId="78" xfId="0" applyNumberFormat="1" applyBorder="1" applyAlignment="1" applyProtection="1">
      <alignment horizontal="center"/>
      <protection locked="0"/>
    </xf>
    <xf numFmtId="43" fontId="0" fillId="26" borderId="0" xfId="0" applyNumberFormat="1" applyFill="1"/>
    <xf numFmtId="0" fontId="18" fillId="0" borderId="0" xfId="0" applyFont="1" applyProtection="1">
      <protection locked="0"/>
    </xf>
    <xf numFmtId="0" fontId="18" fillId="0" borderId="0" xfId="0" applyFont="1" applyProtection="1"/>
    <xf numFmtId="0" fontId="3" fillId="0" borderId="0" xfId="0" applyFont="1" applyProtection="1"/>
    <xf numFmtId="0" fontId="22" fillId="0" borderId="0" xfId="0" applyFont="1" applyProtection="1"/>
    <xf numFmtId="0" fontId="3" fillId="0" borderId="0" xfId="0" applyFont="1" applyAlignment="1" applyProtection="1">
      <alignment horizontal="right" indent="1"/>
    </xf>
    <xf numFmtId="0" fontId="5" fillId="0" borderId="0" xfId="0" applyFont="1" applyAlignment="1" applyProtection="1">
      <alignment horizontal="left"/>
    </xf>
    <xf numFmtId="0" fontId="5" fillId="0" borderId="0" xfId="0" applyFont="1" applyAlignment="1" applyProtection="1">
      <alignment horizontal="right" indent="2"/>
    </xf>
    <xf numFmtId="0" fontId="18" fillId="0" borderId="4" xfId="0" applyFont="1" applyBorder="1" applyProtection="1"/>
    <xf numFmtId="0" fontId="18" fillId="0" borderId="0" xfId="0" applyFont="1" applyBorder="1" applyProtection="1"/>
    <xf numFmtId="165" fontId="5" fillId="12" borderId="9" xfId="8" quotePrefix="1" applyFont="1" applyFill="1" applyBorder="1" applyAlignment="1" applyProtection="1">
      <alignment horizontal="left" vertical="top" wrapText="1"/>
      <protection locked="0"/>
    </xf>
    <xf numFmtId="175" fontId="5" fillId="12" borderId="9" xfId="8" applyNumberFormat="1" applyFont="1" applyFill="1" applyBorder="1" applyAlignment="1" applyProtection="1">
      <alignment horizontal="left" vertical="top" wrapText="1"/>
      <protection locked="0"/>
    </xf>
    <xf numFmtId="2" fontId="5" fillId="27" borderId="9" xfId="8" applyNumberFormat="1" applyFont="1" applyFill="1" applyBorder="1" applyAlignment="1" applyProtection="1">
      <alignment horizontal="right"/>
    </xf>
    <xf numFmtId="169" fontId="5" fillId="27" borderId="9" xfId="8" applyNumberFormat="1" applyFont="1" applyFill="1" applyBorder="1" applyProtection="1"/>
    <xf numFmtId="2" fontId="5" fillId="27" borderId="9" xfId="8" applyNumberFormat="1" applyFont="1" applyFill="1" applyBorder="1" applyProtection="1"/>
    <xf numFmtId="41" fontId="5" fillId="28" borderId="9" xfId="8" applyNumberFormat="1" applyFont="1" applyFill="1" applyBorder="1" applyAlignment="1" applyProtection="1"/>
    <xf numFmtId="41" fontId="5" fillId="28" borderId="13" xfId="8" applyNumberFormat="1" applyFont="1" applyFill="1" applyBorder="1" applyAlignment="1" applyProtection="1"/>
    <xf numFmtId="41" fontId="5" fillId="28" borderId="21" xfId="9" applyNumberFormat="1" applyFont="1" applyFill="1" applyBorder="1" applyAlignment="1" applyProtection="1">
      <alignment horizontal="center"/>
    </xf>
    <xf numFmtId="41" fontId="5" fillId="28" borderId="28" xfId="9" applyNumberFormat="1" applyFont="1" applyFill="1" applyBorder="1" applyAlignment="1" applyProtection="1">
      <alignment horizontal="center"/>
    </xf>
    <xf numFmtId="41" fontId="5" fillId="28" borderId="49" xfId="9" applyNumberFormat="1" applyFont="1" applyFill="1" applyBorder="1" applyAlignment="1" applyProtection="1">
      <alignment horizontal="center"/>
    </xf>
    <xf numFmtId="41" fontId="5" fillId="28" borderId="49" xfId="8" applyNumberFormat="1" applyFont="1" applyFill="1" applyBorder="1" applyProtection="1"/>
    <xf numFmtId="0" fontId="0" fillId="27" borderId="9" xfId="0" applyFill="1" applyBorder="1" applyAlignment="1">
      <alignment horizontal="center"/>
    </xf>
    <xf numFmtId="165" fontId="33" fillId="0" borderId="0" xfId="8" applyFont="1" applyProtection="1"/>
    <xf numFmtId="165" fontId="33" fillId="0" borderId="0" xfId="8" applyFont="1" applyAlignment="1" applyProtection="1">
      <alignment horizontal="centerContinuous"/>
    </xf>
    <xf numFmtId="165" fontId="33" fillId="0" borderId="0" xfId="8" applyFont="1" applyAlignment="1" applyProtection="1">
      <alignment horizontal="center"/>
    </xf>
    <xf numFmtId="165" fontId="33" fillId="0" borderId="0" xfId="9" applyFont="1"/>
    <xf numFmtId="165" fontId="33" fillId="0" borderId="0" xfId="8" applyFont="1"/>
    <xf numFmtId="165" fontId="33" fillId="9" borderId="0" xfId="8" applyFont="1" applyFill="1"/>
    <xf numFmtId="165" fontId="5" fillId="28" borderId="30" xfId="8" applyFont="1" applyFill="1" applyBorder="1" applyAlignment="1" applyProtection="1">
      <alignment horizontal="center"/>
    </xf>
    <xf numFmtId="165" fontId="5" fillId="28" borderId="54" xfId="8" applyFont="1" applyFill="1" applyBorder="1" applyAlignment="1" applyProtection="1">
      <alignment horizontal="center"/>
    </xf>
    <xf numFmtId="165" fontId="5" fillId="28" borderId="8" xfId="8" applyFont="1" applyFill="1" applyBorder="1" applyAlignment="1" applyProtection="1">
      <alignment horizontal="center"/>
    </xf>
    <xf numFmtId="41" fontId="5" fillId="28" borderId="53" xfId="8" applyNumberFormat="1" applyFont="1" applyFill="1" applyBorder="1" applyAlignment="1" applyProtection="1"/>
    <xf numFmtId="165" fontId="6" fillId="28" borderId="6" xfId="9" applyFont="1" applyFill="1" applyBorder="1" applyAlignment="1" applyProtection="1">
      <alignment horizontal="center"/>
    </xf>
    <xf numFmtId="165" fontId="6" fillId="28" borderId="8" xfId="9" applyFont="1" applyFill="1" applyBorder="1" applyAlignment="1" applyProtection="1">
      <alignment horizontal="center"/>
    </xf>
    <xf numFmtId="9" fontId="6" fillId="28" borderId="16" xfId="10" applyFont="1" applyFill="1" applyBorder="1" applyAlignment="1" applyProtection="1">
      <alignment horizontal="center"/>
    </xf>
    <xf numFmtId="165" fontId="5" fillId="28" borderId="19" xfId="8" applyFont="1" applyFill="1" applyBorder="1" applyAlignment="1" applyProtection="1">
      <alignment horizontal="center"/>
    </xf>
    <xf numFmtId="165" fontId="5" fillId="28" borderId="20" xfId="8" applyFont="1" applyFill="1" applyBorder="1" applyAlignment="1" applyProtection="1">
      <alignment horizontal="center"/>
    </xf>
    <xf numFmtId="0" fontId="33" fillId="0" borderId="0" xfId="0" applyFont="1" applyProtection="1"/>
    <xf numFmtId="165" fontId="33" fillId="0" borderId="0" xfId="9" applyFont="1" applyAlignment="1" applyProtection="1">
      <alignment horizontal="centerContinuous"/>
    </xf>
    <xf numFmtId="165" fontId="33" fillId="0" borderId="0" xfId="9" applyFont="1" applyProtection="1"/>
    <xf numFmtId="165" fontId="33" fillId="9" borderId="0" xfId="9" applyFont="1" applyFill="1"/>
    <xf numFmtId="2" fontId="5" fillId="27" borderId="9" xfId="9" applyNumberFormat="1" applyFont="1" applyFill="1" applyBorder="1" applyAlignment="1" applyProtection="1">
      <alignment horizontal="right"/>
    </xf>
    <xf numFmtId="41" fontId="5" fillId="27" borderId="9" xfId="9" applyNumberFormat="1" applyFont="1" applyFill="1" applyBorder="1" applyAlignment="1" applyProtection="1">
      <alignment horizontal="right"/>
    </xf>
    <xf numFmtId="41" fontId="5" fillId="28" borderId="6" xfId="9" applyNumberFormat="1" applyFont="1" applyFill="1" applyBorder="1" applyAlignment="1" applyProtection="1">
      <alignment horizontal="center"/>
    </xf>
    <xf numFmtId="41" fontId="5" fillId="28" borderId="8" xfId="9" applyNumberFormat="1" applyFont="1" applyFill="1" applyBorder="1" applyAlignment="1" applyProtection="1">
      <alignment horizontal="center"/>
    </xf>
    <xf numFmtId="41" fontId="5" fillId="28" borderId="16" xfId="9" applyNumberFormat="1" applyFont="1" applyFill="1" applyBorder="1" applyAlignment="1" applyProtection="1">
      <alignment horizontal="center"/>
    </xf>
    <xf numFmtId="164" fontId="5" fillId="28" borderId="23" xfId="1" applyNumberFormat="1" applyFont="1" applyFill="1" applyBorder="1" applyProtection="1"/>
    <xf numFmtId="41" fontId="5" fillId="28" borderId="53" xfId="9" applyNumberFormat="1" applyFont="1" applyFill="1" applyBorder="1" applyAlignment="1" applyProtection="1">
      <alignment horizontal="center"/>
    </xf>
    <xf numFmtId="165" fontId="15" fillId="28" borderId="6" xfId="9" applyFont="1" applyFill="1" applyBorder="1" applyAlignment="1" applyProtection="1">
      <alignment horizontal="center"/>
    </xf>
    <xf numFmtId="165" fontId="15" fillId="28" borderId="20" xfId="9" applyFont="1" applyFill="1" applyBorder="1" applyAlignment="1" applyProtection="1">
      <alignment horizontal="center"/>
    </xf>
    <xf numFmtId="41" fontId="5" fillId="28" borderId="16" xfId="9" applyNumberFormat="1" applyFont="1" applyFill="1" applyBorder="1" applyProtection="1"/>
    <xf numFmtId="165" fontId="5" fillId="28" borderId="8" xfId="9" applyFont="1" applyFill="1" applyBorder="1" applyAlignment="1" applyProtection="1">
      <alignment horizontal="center"/>
    </xf>
    <xf numFmtId="165" fontId="5" fillId="28" borderId="16" xfId="9" applyFont="1" applyFill="1" applyBorder="1" applyAlignment="1" applyProtection="1">
      <alignment horizontal="center"/>
    </xf>
    <xf numFmtId="41" fontId="5" fillId="28" borderId="79" xfId="9" applyNumberFormat="1" applyFont="1" applyFill="1" applyBorder="1" applyProtection="1"/>
    <xf numFmtId="165" fontId="5" fillId="28" borderId="32" xfId="9" applyFont="1" applyFill="1" applyBorder="1" applyProtection="1"/>
    <xf numFmtId="165" fontId="15" fillId="28" borderId="25" xfId="9" applyFont="1" applyFill="1" applyBorder="1" applyAlignment="1" applyProtection="1">
      <alignment horizontal="center"/>
    </xf>
    <xf numFmtId="167" fontId="5" fillId="28" borderId="25" xfId="10" applyNumberFormat="1" applyFont="1" applyFill="1" applyBorder="1" applyAlignment="1" applyProtection="1">
      <alignment horizontal="center"/>
    </xf>
    <xf numFmtId="41" fontId="5" fillId="28" borderId="53" xfId="1" applyNumberFormat="1" applyFont="1" applyFill="1" applyBorder="1" applyProtection="1"/>
    <xf numFmtId="41" fontId="5" fillId="28" borderId="53" xfId="9" applyNumberFormat="1" applyFont="1" applyFill="1" applyBorder="1" applyProtection="1"/>
    <xf numFmtId="175" fontId="5" fillId="12" borderId="16" xfId="9" applyNumberFormat="1" applyFont="1" applyFill="1" applyBorder="1" applyAlignment="1" applyProtection="1">
      <alignment horizontal="center"/>
      <protection locked="0"/>
    </xf>
    <xf numFmtId="41" fontId="5" fillId="12" borderId="53" xfId="1" applyNumberFormat="1" applyFont="1" applyFill="1" applyBorder="1" applyProtection="1">
      <protection locked="0"/>
    </xf>
    <xf numFmtId="0" fontId="18" fillId="10" borderId="0" xfId="0" applyFont="1" applyFill="1" applyProtection="1"/>
    <xf numFmtId="0" fontId="18" fillId="0" borderId="0" xfId="0" applyNumberFormat="1" applyFont="1" applyFill="1" applyBorder="1" applyAlignment="1" applyProtection="1">
      <alignment horizontal="center"/>
    </xf>
    <xf numFmtId="175" fontId="0" fillId="12" borderId="16" xfId="0" applyNumberFormat="1" applyFill="1" applyBorder="1" applyAlignment="1" applyProtection="1">
      <alignment horizontal="center" vertical="top"/>
      <protection locked="0"/>
    </xf>
    <xf numFmtId="0" fontId="18" fillId="12" borderId="86" xfId="0" applyFont="1" applyFill="1" applyBorder="1" applyAlignment="1" applyProtection="1">
      <alignment vertical="top" wrapText="1"/>
      <protection locked="0"/>
    </xf>
    <xf numFmtId="165" fontId="5" fillId="20" borderId="32" xfId="9" applyFont="1" applyFill="1" applyBorder="1" applyProtection="1"/>
    <xf numFmtId="165" fontId="5" fillId="20" borderId="25" xfId="9" applyFont="1" applyFill="1" applyBorder="1" applyProtection="1"/>
    <xf numFmtId="165" fontId="6" fillId="20" borderId="25" xfId="9" applyFont="1" applyFill="1" applyBorder="1" applyAlignment="1" applyProtection="1">
      <alignment horizontal="center"/>
    </xf>
    <xf numFmtId="165" fontId="5" fillId="0" borderId="66" xfId="8" applyFont="1" applyBorder="1" applyAlignment="1" applyProtection="1">
      <alignment horizontal="center" vertical="center"/>
    </xf>
    <xf numFmtId="165" fontId="5" fillId="0" borderId="54" xfId="8" applyFont="1" applyBorder="1" applyAlignment="1" applyProtection="1">
      <alignment horizontal="center" vertical="center"/>
    </xf>
    <xf numFmtId="0" fontId="3" fillId="9" borderId="88" xfId="0" applyFont="1" applyFill="1" applyBorder="1" applyAlignment="1">
      <alignment horizontal="left" indent="1"/>
    </xf>
    <xf numFmtId="0" fontId="3" fillId="9" borderId="75" xfId="0" applyFont="1" applyFill="1" applyBorder="1" applyAlignment="1">
      <alignment horizontal="left" indent="1"/>
    </xf>
    <xf numFmtId="0" fontId="3" fillId="9" borderId="86" xfId="0" applyFont="1" applyFill="1" applyBorder="1" applyAlignment="1">
      <alignment horizontal="center"/>
    </xf>
    <xf numFmtId="0" fontId="3" fillId="9" borderId="87" xfId="0" applyFont="1" applyFill="1" applyBorder="1" applyAlignment="1">
      <alignment horizontal="left" indent="1"/>
    </xf>
    <xf numFmtId="179" fontId="0" fillId="0" borderId="75" xfId="0" applyNumberFormat="1" applyBorder="1" applyAlignment="1" applyProtection="1">
      <alignment horizontal="center"/>
      <protection locked="0"/>
    </xf>
    <xf numFmtId="49" fontId="18" fillId="5" borderId="90" xfId="0" applyNumberFormat="1" applyFont="1" applyFill="1" applyBorder="1" applyAlignment="1" applyProtection="1">
      <alignment horizontal="center" vertical="top" wrapText="1"/>
    </xf>
    <xf numFmtId="49" fontId="18" fillId="12" borderId="79" xfId="0" applyNumberFormat="1" applyFont="1" applyFill="1" applyBorder="1" applyAlignment="1" applyProtection="1">
      <alignment horizontal="left" vertical="top" wrapText="1" indent="1"/>
      <protection locked="0"/>
    </xf>
    <xf numFmtId="164" fontId="18" fillId="12" borderId="79" xfId="1" applyNumberFormat="1" applyFont="1" applyFill="1" applyBorder="1" applyAlignment="1" applyProtection="1">
      <alignment horizontal="left" vertical="top" wrapText="1" indent="1"/>
      <protection locked="0"/>
    </xf>
    <xf numFmtId="173" fontId="18" fillId="12" borderId="79" xfId="0" applyNumberFormat="1" applyFont="1" applyFill="1" applyBorder="1" applyAlignment="1" applyProtection="1">
      <alignment horizontal="left" vertical="top" wrapText="1" indent="1"/>
      <protection locked="0"/>
    </xf>
    <xf numFmtId="0" fontId="18" fillId="12" borderId="86" xfId="0" applyFont="1" applyFill="1" applyBorder="1" applyAlignment="1" applyProtection="1">
      <alignment horizontal="left" vertical="top" wrapText="1" indent="1"/>
      <protection locked="0"/>
    </xf>
    <xf numFmtId="0" fontId="18" fillId="12" borderId="86" xfId="0" applyFont="1" applyFill="1" applyBorder="1" applyAlignment="1" applyProtection="1">
      <alignment horizontal="left" vertical="top" wrapText="1"/>
      <protection locked="0"/>
    </xf>
    <xf numFmtId="41" fontId="0" fillId="0" borderId="95" xfId="0" applyNumberFormat="1" applyBorder="1" applyProtection="1">
      <protection locked="0"/>
    </xf>
    <xf numFmtId="41" fontId="0" fillId="0" borderId="96" xfId="0" applyNumberFormat="1" applyBorder="1" applyProtection="1">
      <protection locked="0"/>
    </xf>
    <xf numFmtId="165" fontId="5" fillId="0" borderId="19" xfId="9" applyNumberFormat="1" applyFont="1" applyFill="1" applyBorder="1" applyAlignment="1" applyProtection="1">
      <alignment horizontal="center"/>
    </xf>
    <xf numFmtId="165" fontId="5" fillId="28" borderId="6" xfId="9" applyNumberFormat="1" applyFont="1" applyFill="1" applyBorder="1" applyAlignment="1" applyProtection="1">
      <alignment horizontal="center"/>
    </xf>
    <xf numFmtId="165" fontId="5" fillId="0" borderId="6" xfId="9" applyNumberFormat="1" applyFont="1" applyFill="1" applyBorder="1" applyAlignment="1" applyProtection="1">
      <alignment horizontal="center"/>
    </xf>
    <xf numFmtId="165" fontId="5" fillId="11" borderId="6" xfId="9" applyNumberFormat="1" applyFont="1" applyFill="1" applyBorder="1" applyAlignment="1" applyProtection="1">
      <alignment horizontal="center"/>
    </xf>
    <xf numFmtId="164" fontId="5" fillId="11" borderId="86" xfId="1" applyNumberFormat="1" applyFont="1" applyFill="1" applyBorder="1" applyProtection="1"/>
    <xf numFmtId="164" fontId="5" fillId="2" borderId="86" xfId="1" applyNumberFormat="1" applyFont="1" applyFill="1" applyBorder="1" applyAlignment="1" applyProtection="1">
      <alignment horizontal="left" indent="1"/>
    </xf>
    <xf numFmtId="10" fontId="5" fillId="2" borderId="16" xfId="10" applyNumberFormat="1" applyFont="1" applyFill="1" applyBorder="1" applyAlignment="1" applyProtection="1">
      <alignment horizontal="center"/>
    </xf>
    <xf numFmtId="10" fontId="5" fillId="28" borderId="21" xfId="10" applyNumberFormat="1" applyFont="1" applyFill="1" applyBorder="1" applyAlignment="1" applyProtection="1">
      <alignment horizontal="center"/>
    </xf>
    <xf numFmtId="10" fontId="5" fillId="28" borderId="16" xfId="10" applyNumberFormat="1" applyFont="1" applyFill="1" applyBorder="1" applyAlignment="1" applyProtection="1">
      <alignment horizontal="center"/>
    </xf>
    <xf numFmtId="9" fontId="0" fillId="0" borderId="0" xfId="10" applyNumberFormat="1" applyFont="1"/>
    <xf numFmtId="41" fontId="4" fillId="0" borderId="0" xfId="0" applyNumberFormat="1" applyFont="1" applyBorder="1" applyAlignment="1" applyProtection="1">
      <alignment horizontal="left" indent="1"/>
      <protection locked="0"/>
    </xf>
    <xf numFmtId="0" fontId="0" fillId="0" borderId="0" xfId="0" applyProtection="1">
      <protection locked="0"/>
    </xf>
    <xf numFmtId="0" fontId="39" fillId="0" borderId="0" xfId="0" applyFont="1" applyAlignment="1" applyProtection="1">
      <alignment horizontal="left" indent="2"/>
      <protection locked="0"/>
    </xf>
    <xf numFmtId="44" fontId="4" fillId="0" borderId="0" xfId="0" applyNumberFormat="1" applyFont="1" applyBorder="1" applyProtection="1">
      <protection locked="0"/>
    </xf>
    <xf numFmtId="0" fontId="0" fillId="0" borderId="0" xfId="0" applyBorder="1" applyProtection="1">
      <protection locked="0"/>
    </xf>
    <xf numFmtId="41" fontId="0" fillId="0" borderId="0" xfId="0" applyNumberFormat="1" applyProtection="1">
      <protection locked="0"/>
    </xf>
    <xf numFmtId="0" fontId="39" fillId="0" borderId="0" xfId="0" applyFont="1" applyBorder="1" applyAlignment="1" applyProtection="1">
      <alignment horizontal="left" indent="3"/>
      <protection locked="0"/>
    </xf>
    <xf numFmtId="0" fontId="4" fillId="0" borderId="0" xfId="0" applyFont="1" applyAlignment="1" applyProtection="1">
      <alignment horizontal="left" indent="2"/>
      <protection locked="0"/>
    </xf>
    <xf numFmtId="0" fontId="5" fillId="0" borderId="0" xfId="0" applyFont="1" applyAlignment="1" applyProtection="1">
      <alignment horizontal="left" indent="3"/>
      <protection locked="0"/>
    </xf>
    <xf numFmtId="0" fontId="18" fillId="0" borderId="78" xfId="0" applyFont="1" applyBorder="1" applyProtection="1"/>
    <xf numFmtId="0" fontId="18" fillId="0" borderId="21" xfId="0" applyFont="1" applyBorder="1" applyProtection="1"/>
    <xf numFmtId="165" fontId="6" fillId="0" borderId="6" xfId="9" applyFont="1" applyFill="1" applyBorder="1" applyAlignment="1" applyProtection="1">
      <alignment horizontal="center"/>
    </xf>
    <xf numFmtId="165" fontId="6" fillId="0" borderId="8" xfId="9" applyFont="1" applyFill="1" applyBorder="1" applyAlignment="1" applyProtection="1">
      <alignment horizontal="center"/>
    </xf>
    <xf numFmtId="9" fontId="6" fillId="0" borderId="16" xfId="10" applyFont="1" applyFill="1" applyBorder="1" applyAlignment="1" applyProtection="1">
      <alignment horizontal="center"/>
    </xf>
    <xf numFmtId="165" fontId="8" fillId="0" borderId="0" xfId="8" applyFont="1" applyAlignment="1">
      <alignment horizontal="center"/>
    </xf>
    <xf numFmtId="41" fontId="39" fillId="0" borderId="0" xfId="0" applyNumberFormat="1" applyFont="1" applyBorder="1" applyAlignment="1" applyProtection="1">
      <alignment horizontal="left" indent="1"/>
      <protection locked="0"/>
    </xf>
    <xf numFmtId="0" fontId="27" fillId="2" borderId="61" xfId="0" applyFont="1" applyFill="1" applyBorder="1" applyAlignment="1">
      <alignment horizontal="left" indent="1"/>
    </xf>
    <xf numFmtId="0" fontId="27" fillId="2" borderId="102" xfId="0" applyFont="1" applyFill="1" applyBorder="1" applyAlignment="1">
      <alignment horizontal="left" indent="1"/>
    </xf>
    <xf numFmtId="0" fontId="5" fillId="19" borderId="103" xfId="0" applyFont="1" applyFill="1" applyBorder="1" applyAlignment="1" applyProtection="1">
      <alignment horizontal="left" vertical="center" indent="1"/>
    </xf>
    <xf numFmtId="0" fontId="5" fillId="12" borderId="9" xfId="1" applyNumberFormat="1" applyFont="1" applyFill="1" applyBorder="1" applyAlignment="1" applyProtection="1">
      <alignment horizontal="left" indent="1"/>
      <protection locked="0"/>
    </xf>
    <xf numFmtId="0" fontId="5" fillId="0" borderId="0" xfId="1" applyNumberFormat="1" applyFont="1" applyProtection="1"/>
    <xf numFmtId="0" fontId="6" fillId="0" borderId="0" xfId="1" applyNumberFormat="1" applyFont="1" applyFill="1" applyBorder="1" applyAlignment="1" applyProtection="1">
      <alignment horizontal="centerContinuous"/>
    </xf>
    <xf numFmtId="0" fontId="5" fillId="8" borderId="0" xfId="1" applyNumberFormat="1" applyFont="1" applyFill="1"/>
    <xf numFmtId="180" fontId="3" fillId="0" borderId="0" xfId="0" applyNumberFormat="1" applyFont="1" applyBorder="1" applyAlignment="1">
      <alignment indent="4"/>
    </xf>
    <xf numFmtId="180" fontId="3" fillId="0" borderId="0" xfId="0" applyNumberFormat="1" applyFont="1" applyFill="1" applyBorder="1" applyAlignment="1">
      <alignment indent="4"/>
    </xf>
    <xf numFmtId="180" fontId="3" fillId="0" borderId="0" xfId="0" applyNumberFormat="1" applyFont="1" applyBorder="1" applyAlignment="1">
      <alignment vertical="top" wrapText="1"/>
    </xf>
    <xf numFmtId="164" fontId="5" fillId="8" borderId="0" xfId="1" applyNumberFormat="1" applyFont="1" applyFill="1" applyAlignment="1" applyProtection="1">
      <alignment horizontal="left"/>
    </xf>
    <xf numFmtId="0" fontId="5" fillId="0" borderId="7" xfId="0" applyFont="1" applyFill="1" applyBorder="1" applyAlignment="1">
      <alignment horizontal="center"/>
    </xf>
    <xf numFmtId="0" fontId="5" fillId="0" borderId="0" xfId="0" applyFont="1" applyAlignment="1">
      <alignment horizontal="center"/>
    </xf>
    <xf numFmtId="0" fontId="5" fillId="0" borderId="0" xfId="0" applyFont="1" applyFill="1" applyBorder="1" applyAlignment="1">
      <alignment horizontal="center"/>
    </xf>
    <xf numFmtId="2" fontId="4" fillId="0" borderId="0" xfId="0" applyNumberFormat="1" applyFont="1" applyFill="1"/>
    <xf numFmtId="2" fontId="4" fillId="0" borderId="0" xfId="0" applyNumberFormat="1" applyFont="1"/>
    <xf numFmtId="0" fontId="3" fillId="29" borderId="0" xfId="0" applyFont="1" applyFill="1" applyAlignment="1">
      <alignment horizontal="left"/>
    </xf>
    <xf numFmtId="0" fontId="3" fillId="29" borderId="0" xfId="0" applyFont="1" applyFill="1"/>
    <xf numFmtId="0" fontId="3" fillId="29" borderId="0" xfId="0" applyFont="1" applyFill="1" applyAlignment="1">
      <alignment horizontal="center"/>
    </xf>
    <xf numFmtId="0" fontId="5" fillId="8" borderId="0" xfId="1" applyNumberFormat="1" applyFont="1" applyFill="1" applyAlignment="1" applyProtection="1">
      <alignment horizontal="center"/>
    </xf>
    <xf numFmtId="0" fontId="5" fillId="8" borderId="0" xfId="0" applyFont="1" applyFill="1" applyAlignment="1" applyProtection="1">
      <alignment horizontal="left"/>
    </xf>
    <xf numFmtId="49" fontId="5" fillId="0" borderId="0" xfId="1" applyNumberFormat="1" applyFont="1" applyAlignment="1" applyProtection="1">
      <alignment horizontal="right"/>
    </xf>
    <xf numFmtId="165" fontId="5" fillId="0" borderId="0" xfId="8" applyFont="1" applyFill="1" applyAlignment="1" applyProtection="1">
      <alignment horizontal="right" indent="2"/>
    </xf>
    <xf numFmtId="41" fontId="5" fillId="0" borderId="0" xfId="0" applyNumberFormat="1" applyFont="1" applyFill="1" applyBorder="1"/>
    <xf numFmtId="164" fontId="35" fillId="0" borderId="0" xfId="1" applyNumberFormat="1" applyFont="1" applyAlignment="1" applyProtection="1">
      <alignment horizontal="right"/>
    </xf>
    <xf numFmtId="164" fontId="35" fillId="0" borderId="2" xfId="1" applyNumberFormat="1" applyFont="1" applyBorder="1" applyAlignment="1" applyProtection="1">
      <alignment horizontal="center"/>
      <protection locked="0"/>
    </xf>
    <xf numFmtId="0" fontId="0" fillId="0" borderId="100" xfId="0" applyBorder="1"/>
    <xf numFmtId="0" fontId="0" fillId="0" borderId="101" xfId="0" applyBorder="1"/>
    <xf numFmtId="0" fontId="4" fillId="0" borderId="21" xfId="0" applyFont="1" applyBorder="1"/>
    <xf numFmtId="0" fontId="4" fillId="0" borderId="22" xfId="0" applyFont="1" applyBorder="1"/>
    <xf numFmtId="164" fontId="5" fillId="12" borderId="9" xfId="1" applyNumberFormat="1" applyFont="1" applyFill="1" applyBorder="1" applyAlignment="1" applyProtection="1">
      <alignment horizontal="left" wrapText="1"/>
      <protection locked="0"/>
    </xf>
    <xf numFmtId="0" fontId="0" fillId="0" borderId="9" xfId="0" applyBorder="1" applyAlignment="1">
      <alignment vertical="center"/>
    </xf>
    <xf numFmtId="164" fontId="5" fillId="12" borderId="9" xfId="1" applyNumberFormat="1" applyFont="1" applyFill="1" applyBorder="1" applyAlignment="1" applyProtection="1">
      <alignment horizontal="center" vertical="center"/>
      <protection locked="0"/>
    </xf>
    <xf numFmtId="0" fontId="23" fillId="0" borderId="0" xfId="0" applyFont="1" applyBorder="1"/>
    <xf numFmtId="0" fontId="24" fillId="0" borderId="0" xfId="0" applyFont="1" applyBorder="1" applyAlignment="1">
      <alignment horizontal="right" vertical="center" indent="1"/>
    </xf>
    <xf numFmtId="14" fontId="5" fillId="0" borderId="0" xfId="1" applyNumberFormat="1" applyFont="1"/>
    <xf numFmtId="0" fontId="18" fillId="0" borderId="0" xfId="0" applyFont="1" applyFill="1" applyBorder="1" applyProtection="1"/>
    <xf numFmtId="0" fontId="18" fillId="0" borderId="0" xfId="0" applyFont="1" applyFill="1" applyBorder="1" applyAlignment="1" applyProtection="1">
      <alignment horizontal="left" indent="1"/>
    </xf>
    <xf numFmtId="179" fontId="18" fillId="0" borderId="0" xfId="0" applyNumberFormat="1" applyFont="1" applyFill="1" applyBorder="1" applyAlignment="1" applyProtection="1">
      <alignment horizontal="left" indent="1"/>
    </xf>
    <xf numFmtId="165" fontId="8" fillId="9" borderId="4" xfId="8" applyFont="1" applyFill="1" applyBorder="1" applyAlignment="1" applyProtection="1">
      <alignment horizontal="centerContinuous"/>
    </xf>
    <xf numFmtId="0" fontId="18" fillId="12" borderId="105" xfId="0" applyFont="1" applyFill="1" applyBorder="1" applyAlignment="1" applyProtection="1">
      <alignment horizontal="left" vertical="top" wrapText="1" indent="1"/>
      <protection locked="0"/>
    </xf>
    <xf numFmtId="173" fontId="18" fillId="12" borderId="104" xfId="0" applyNumberFormat="1" applyFont="1" applyFill="1" applyBorder="1" applyAlignment="1" applyProtection="1">
      <alignment horizontal="left" vertical="top" wrapText="1" indent="1"/>
      <protection locked="0"/>
    </xf>
    <xf numFmtId="0" fontId="4" fillId="0" borderId="0" xfId="0" applyFont="1" applyFill="1"/>
    <xf numFmtId="0" fontId="3" fillId="0" borderId="0" xfId="0" applyFont="1" applyFill="1" applyAlignment="1">
      <alignment horizontal="center"/>
    </xf>
    <xf numFmtId="164" fontId="5" fillId="0" borderId="0" xfId="1" applyNumberFormat="1" applyFont="1" applyProtection="1">
      <protection locked="0"/>
    </xf>
    <xf numFmtId="0" fontId="4" fillId="0" borderId="0" xfId="0" applyFont="1" applyProtection="1">
      <protection locked="0"/>
    </xf>
    <xf numFmtId="41" fontId="4" fillId="0" borderId="0" xfId="0" applyNumberFormat="1" applyFont="1" applyProtection="1">
      <protection locked="0"/>
    </xf>
    <xf numFmtId="0" fontId="18" fillId="12" borderId="86" xfId="0" applyFont="1" applyFill="1" applyBorder="1" applyAlignment="1" applyProtection="1">
      <alignment horizontal="center" vertical="top" wrapText="1"/>
      <protection locked="0"/>
    </xf>
    <xf numFmtId="175" fontId="18" fillId="12" borderId="79" xfId="0" applyNumberFormat="1" applyFont="1" applyFill="1" applyBorder="1" applyAlignment="1" applyProtection="1">
      <alignment horizontal="center" vertical="top" wrapText="1"/>
      <protection locked="0"/>
    </xf>
    <xf numFmtId="49" fontId="18" fillId="12" borderId="79" xfId="0" applyNumberFormat="1" applyFont="1" applyFill="1" applyBorder="1" applyAlignment="1" applyProtection="1">
      <alignment horizontal="center" vertical="top" wrapText="1"/>
      <protection locked="0"/>
    </xf>
    <xf numFmtId="173" fontId="18" fillId="12" borderId="79" xfId="0" applyNumberFormat="1" applyFont="1" applyFill="1" applyBorder="1" applyAlignment="1" applyProtection="1">
      <alignment horizontal="center" vertical="top" wrapText="1"/>
      <protection locked="0"/>
    </xf>
    <xf numFmtId="49" fontId="18" fillId="12" borderId="86" xfId="0" applyNumberFormat="1" applyFont="1" applyFill="1" applyBorder="1" applyAlignment="1" applyProtection="1">
      <alignment horizontal="center" vertical="top" wrapText="1"/>
      <protection locked="0"/>
    </xf>
    <xf numFmtId="165" fontId="5" fillId="0" borderId="94" xfId="8" applyFont="1" applyBorder="1" applyProtection="1"/>
    <xf numFmtId="165" fontId="5" fillId="0" borderId="0" xfId="8" applyFont="1" applyFill="1" applyBorder="1" applyAlignment="1" applyProtection="1">
      <alignment horizontal="left" wrapText="1"/>
    </xf>
    <xf numFmtId="164" fontId="5" fillId="2" borderId="9" xfId="1" applyNumberFormat="1" applyFont="1" applyFill="1" applyBorder="1" applyAlignment="1" applyProtection="1"/>
    <xf numFmtId="164" fontId="5" fillId="0" borderId="0" xfId="1" applyNumberFormat="1" applyFont="1" applyFill="1" applyBorder="1" applyProtection="1"/>
    <xf numFmtId="168" fontId="8" fillId="0" borderId="4" xfId="9" applyNumberFormat="1" applyFont="1" applyBorder="1" applyAlignment="1" applyProtection="1">
      <alignment horizontal="centerContinuous"/>
    </xf>
    <xf numFmtId="168" fontId="5" fillId="0" borderId="0" xfId="0" applyNumberFormat="1" applyFont="1" applyProtection="1"/>
    <xf numFmtId="168" fontId="5" fillId="0" borderId="0" xfId="9" applyNumberFormat="1" applyFont="1"/>
    <xf numFmtId="168" fontId="6" fillId="0" borderId="0" xfId="9" quotePrefix="1" applyNumberFormat="1" applyFont="1" applyAlignment="1" applyProtection="1">
      <alignment horizontal="center"/>
    </xf>
    <xf numFmtId="168" fontId="6" fillId="0" borderId="6" xfId="9" quotePrefix="1" applyNumberFormat="1" applyFont="1" applyBorder="1" applyAlignment="1" applyProtection="1">
      <alignment horizontal="center"/>
    </xf>
    <xf numFmtId="168" fontId="6" fillId="0" borderId="8" xfId="9" applyNumberFormat="1" applyFont="1" applyBorder="1" applyAlignment="1" applyProtection="1">
      <alignment horizontal="center"/>
    </xf>
    <xf numFmtId="168" fontId="6" fillId="0" borderId="8" xfId="0" applyNumberFormat="1" applyFont="1" applyBorder="1" applyAlignment="1" applyProtection="1">
      <alignment horizontal="center"/>
    </xf>
    <xf numFmtId="168" fontId="5" fillId="0" borderId="0" xfId="9" applyNumberFormat="1" applyFont="1" applyBorder="1" applyProtection="1"/>
    <xf numFmtId="168" fontId="5" fillId="0" borderId="0" xfId="9" applyNumberFormat="1" applyFont="1" applyProtection="1"/>
    <xf numFmtId="168" fontId="5" fillId="0" borderId="0" xfId="9" applyNumberFormat="1" applyFont="1" applyProtection="1">
      <protection locked="0"/>
    </xf>
    <xf numFmtId="164" fontId="5" fillId="2" borderId="108" xfId="1" applyNumberFormat="1" applyFont="1" applyFill="1" applyBorder="1" applyAlignment="1" applyProtection="1"/>
    <xf numFmtId="41" fontId="5" fillId="0" borderId="0" xfId="1" applyNumberFormat="1" applyFont="1" applyAlignment="1" applyProtection="1">
      <alignment wrapText="1"/>
      <protection locked="0"/>
    </xf>
    <xf numFmtId="0" fontId="46" fillId="0" borderId="0" xfId="1" applyNumberFormat="1" applyFont="1" applyFill="1" applyBorder="1" applyAlignment="1" applyProtection="1">
      <alignment vertical="center" wrapText="1"/>
      <protection locked="0"/>
    </xf>
    <xf numFmtId="0" fontId="18" fillId="5" borderId="86" xfId="0" applyFont="1" applyFill="1" applyBorder="1" applyAlignment="1" applyProtection="1">
      <alignment horizontal="left" indent="1"/>
      <protection locked="0"/>
    </xf>
    <xf numFmtId="179" fontId="18" fillId="5" borderId="86" xfId="0" applyNumberFormat="1" applyFont="1" applyFill="1" applyBorder="1" applyAlignment="1" applyProtection="1">
      <alignment horizontal="left" indent="1"/>
      <protection locked="0"/>
    </xf>
    <xf numFmtId="0" fontId="0" fillId="0" borderId="7" xfId="0" applyBorder="1" applyProtection="1">
      <protection locked="0"/>
    </xf>
    <xf numFmtId="2" fontId="5" fillId="12" borderId="36" xfId="8" applyNumberFormat="1" applyFont="1" applyFill="1" applyBorder="1" applyAlignment="1" applyProtection="1">
      <alignment horizontal="center"/>
    </xf>
    <xf numFmtId="0" fontId="5" fillId="19" borderId="9" xfId="0" applyFont="1" applyFill="1" applyBorder="1" applyAlignment="1" applyProtection="1">
      <alignment vertical="center"/>
    </xf>
    <xf numFmtId="165" fontId="5" fillId="12" borderId="86" xfId="8" applyFont="1" applyFill="1" applyBorder="1" applyAlignment="1" applyProtection="1">
      <alignment wrapText="1"/>
      <protection locked="0"/>
    </xf>
    <xf numFmtId="0" fontId="46" fillId="0" borderId="0" xfId="1" applyNumberFormat="1" applyFont="1" applyFill="1" applyBorder="1" applyAlignment="1" applyProtection="1">
      <alignment vertical="top" wrapText="1"/>
      <protection locked="0"/>
    </xf>
    <xf numFmtId="0" fontId="4" fillId="0" borderId="0" xfId="0" applyFont="1" applyProtection="1"/>
    <xf numFmtId="0" fontId="4" fillId="0" borderId="0" xfId="0" applyFont="1" applyAlignment="1" applyProtection="1">
      <alignment horizontal="left" indent="1"/>
    </xf>
    <xf numFmtId="0" fontId="20" fillId="5" borderId="78" xfId="0" applyNumberFormat="1" applyFont="1" applyFill="1" applyBorder="1" applyAlignment="1" applyProtection="1">
      <alignment horizontal="center" wrapText="1"/>
    </xf>
    <xf numFmtId="0" fontId="19" fillId="5" borderId="86" xfId="0" applyNumberFormat="1" applyFont="1" applyFill="1" applyBorder="1" applyAlignment="1" applyProtection="1">
      <alignment horizontal="center" wrapText="1"/>
    </xf>
    <xf numFmtId="164" fontId="6" fillId="8" borderId="0" xfId="1" applyNumberFormat="1" applyFont="1" applyFill="1" applyAlignment="1" applyProtection="1"/>
    <xf numFmtId="164" fontId="5" fillId="12" borderId="116" xfId="1" applyNumberFormat="1" applyFont="1" applyFill="1" applyBorder="1" applyProtection="1">
      <protection locked="0"/>
    </xf>
    <xf numFmtId="0" fontId="46" fillId="0" borderId="0" xfId="1" applyNumberFormat="1" applyFont="1" applyFill="1" applyBorder="1" applyAlignment="1" applyProtection="1">
      <alignment vertical="center" wrapText="1"/>
    </xf>
    <xf numFmtId="180" fontId="3" fillId="0" borderId="0" xfId="0" applyNumberFormat="1" applyFont="1" applyFill="1" applyBorder="1" applyAlignment="1" applyProtection="1">
      <alignment indent="4"/>
    </xf>
    <xf numFmtId="165" fontId="5" fillId="12" borderId="86" xfId="8" applyFont="1" applyFill="1" applyBorder="1" applyAlignment="1" applyProtection="1">
      <alignment horizontal="left" vertical="top" wrapText="1"/>
      <protection locked="0"/>
    </xf>
    <xf numFmtId="173" fontId="5" fillId="2" borderId="117" xfId="8" applyNumberFormat="1" applyFont="1" applyFill="1" applyBorder="1" applyAlignment="1" applyProtection="1">
      <alignment horizontal="left"/>
    </xf>
    <xf numFmtId="165" fontId="5" fillId="2" borderId="118" xfId="8" applyFont="1" applyFill="1" applyBorder="1" applyAlignment="1" applyProtection="1">
      <alignment horizontal="left"/>
    </xf>
    <xf numFmtId="165" fontId="5" fillId="12" borderId="118" xfId="8" applyFont="1" applyFill="1" applyBorder="1" applyAlignment="1" applyProtection="1">
      <alignment horizontal="left" wrapText="1"/>
      <protection locked="0"/>
    </xf>
    <xf numFmtId="2" fontId="5" fillId="2" borderId="118" xfId="8" applyNumberFormat="1" applyFont="1" applyFill="1" applyBorder="1" applyAlignment="1" applyProtection="1">
      <alignment horizontal="center"/>
    </xf>
    <xf numFmtId="3" fontId="5" fillId="2" borderId="118" xfId="8" applyNumberFormat="1" applyFont="1" applyFill="1" applyBorder="1" applyAlignment="1" applyProtection="1">
      <alignment horizontal="center"/>
    </xf>
    <xf numFmtId="41" fontId="5" fillId="2" borderId="118" xfId="8" applyNumberFormat="1" applyFont="1" applyFill="1" applyBorder="1" applyAlignment="1" applyProtection="1"/>
    <xf numFmtId="41" fontId="5" fillId="2" borderId="108" xfId="1" applyNumberFormat="1" applyFont="1" applyFill="1" applyBorder="1" applyAlignment="1" applyProtection="1"/>
    <xf numFmtId="2" fontId="5" fillId="2" borderId="108" xfId="8" applyNumberFormat="1" applyFont="1" applyFill="1" applyBorder="1" applyAlignment="1" applyProtection="1">
      <alignment horizontal="center"/>
    </xf>
    <xf numFmtId="41" fontId="5" fillId="2" borderId="108" xfId="8" applyNumberFormat="1" applyFont="1" applyFill="1" applyBorder="1" applyAlignment="1" applyProtection="1">
      <alignment horizontal="center"/>
    </xf>
    <xf numFmtId="41" fontId="5" fillId="2" borderId="108" xfId="8" applyNumberFormat="1" applyFont="1" applyFill="1" applyBorder="1" applyAlignment="1" applyProtection="1"/>
    <xf numFmtId="41" fontId="5" fillId="2" borderId="108" xfId="1" applyNumberFormat="1" applyFont="1" applyFill="1" applyBorder="1" applyAlignment="1" applyProtection="1">
      <alignment horizontal="center"/>
    </xf>
    <xf numFmtId="165" fontId="5" fillId="27" borderId="108" xfId="8" applyFont="1" applyFill="1" applyBorder="1" applyAlignment="1" applyProtection="1">
      <alignment horizontal="left" wrapText="1"/>
    </xf>
    <xf numFmtId="165" fontId="5" fillId="2" borderId="108" xfId="8" applyFont="1" applyFill="1" applyBorder="1" applyAlignment="1" applyProtection="1">
      <alignment horizontal="left"/>
    </xf>
    <xf numFmtId="173" fontId="5" fillId="2" borderId="118" xfId="9" applyNumberFormat="1" applyFont="1" applyFill="1" applyBorder="1" applyAlignment="1" applyProtection="1">
      <alignment horizontal="left" indent="1"/>
    </xf>
    <xf numFmtId="165" fontId="5" fillId="2" borderId="118" xfId="9" applyFont="1" applyFill="1" applyBorder="1" applyAlignment="1" applyProtection="1">
      <alignment horizontal="center"/>
    </xf>
    <xf numFmtId="2" fontId="5" fillId="2" borderId="118" xfId="9" applyNumberFormat="1" applyFont="1" applyFill="1" applyBorder="1" applyAlignment="1" applyProtection="1">
      <alignment horizontal="center"/>
    </xf>
    <xf numFmtId="41" fontId="5" fillId="2" borderId="118" xfId="9" applyNumberFormat="1" applyFont="1" applyFill="1" applyBorder="1" applyAlignment="1" applyProtection="1">
      <alignment horizontal="center"/>
    </xf>
    <xf numFmtId="164" fontId="5" fillId="2" borderId="118" xfId="1" applyNumberFormat="1" applyFont="1" applyFill="1" applyBorder="1" applyProtection="1"/>
    <xf numFmtId="165" fontId="5" fillId="2" borderId="119" xfId="9" applyFont="1" applyFill="1" applyBorder="1" applyAlignment="1" applyProtection="1">
      <alignment horizontal="center"/>
    </xf>
    <xf numFmtId="43" fontId="5" fillId="2" borderId="119" xfId="9" applyNumberFormat="1" applyFont="1" applyFill="1" applyBorder="1" applyAlignment="1" applyProtection="1">
      <alignment horizontal="center"/>
    </xf>
    <xf numFmtId="41" fontId="5" fillId="2" borderId="119" xfId="9" applyNumberFormat="1" applyFont="1" applyFill="1" applyBorder="1" applyProtection="1"/>
    <xf numFmtId="41" fontId="5" fillId="2" borderId="119" xfId="8" applyNumberFormat="1" applyFont="1" applyFill="1" applyBorder="1" applyAlignment="1" applyProtection="1"/>
    <xf numFmtId="41" fontId="5" fillId="2" borderId="118" xfId="9" applyNumberFormat="1" applyFont="1" applyFill="1" applyBorder="1" applyProtection="1"/>
    <xf numFmtId="165" fontId="5" fillId="27" borderId="118" xfId="8" applyFont="1" applyFill="1" applyBorder="1" applyAlignment="1" applyProtection="1">
      <alignment horizontal="left" wrapText="1"/>
    </xf>
    <xf numFmtId="41" fontId="5" fillId="0" borderId="0" xfId="9" applyNumberFormat="1" applyFont="1" applyProtection="1"/>
    <xf numFmtId="43" fontId="5" fillId="0" borderId="0" xfId="9" applyNumberFormat="1" applyFont="1" applyProtection="1"/>
    <xf numFmtId="41" fontId="4" fillId="0" borderId="0" xfId="9" applyNumberFormat="1" applyFont="1" applyProtection="1"/>
    <xf numFmtId="43" fontId="4" fillId="0" borderId="0" xfId="9" applyNumberFormat="1" applyFont="1" applyProtection="1"/>
    <xf numFmtId="168" fontId="4" fillId="0" borderId="0" xfId="9" applyNumberFormat="1" applyFont="1" applyProtection="1"/>
    <xf numFmtId="0" fontId="47" fillId="0" borderId="0" xfId="18"/>
    <xf numFmtId="0" fontId="0" fillId="0" borderId="128" xfId="0" applyBorder="1" applyAlignment="1">
      <alignment horizontal="left"/>
    </xf>
    <xf numFmtId="0" fontId="0" fillId="0" borderId="128" xfId="0" applyBorder="1" applyAlignment="1">
      <alignment horizontal="right"/>
    </xf>
    <xf numFmtId="181" fontId="0" fillId="0" borderId="128" xfId="1" applyNumberFormat="1" applyFont="1" applyBorder="1"/>
    <xf numFmtId="181" fontId="4" fillId="0" borderId="128" xfId="1" applyNumberFormat="1" applyFont="1" applyBorder="1"/>
    <xf numFmtId="164" fontId="4" fillId="30" borderId="126" xfId="1" applyNumberFormat="1" applyFont="1" applyFill="1" applyBorder="1"/>
    <xf numFmtId="164" fontId="4" fillId="30" borderId="82" xfId="1" applyNumberFormat="1" applyFont="1" applyFill="1" applyBorder="1"/>
    <xf numFmtId="164" fontId="4" fillId="30" borderId="127" xfId="1" applyNumberFormat="1" applyFont="1" applyFill="1" applyBorder="1"/>
    <xf numFmtId="164" fontId="4" fillId="2" borderId="125" xfId="1" applyNumberFormat="1" applyFont="1" applyFill="1" applyBorder="1" applyAlignment="1" applyProtection="1">
      <alignment horizontal="center"/>
    </xf>
    <xf numFmtId="164" fontId="7" fillId="2" borderId="0" xfId="1" applyNumberFormat="1" applyFont="1" applyFill="1" applyBorder="1" applyProtection="1"/>
    <xf numFmtId="164" fontId="5" fillId="2" borderId="0" xfId="1" applyNumberFormat="1" applyFont="1" applyFill="1" applyBorder="1" applyAlignment="1" applyProtection="1">
      <alignment horizontal="left"/>
    </xf>
    <xf numFmtId="164" fontId="7" fillId="2" borderId="78" xfId="1" applyNumberFormat="1" applyFont="1" applyFill="1" applyBorder="1" applyProtection="1"/>
    <xf numFmtId="175" fontId="4" fillId="2" borderId="126" xfId="1" applyNumberFormat="1" applyFont="1" applyFill="1" applyBorder="1" applyAlignment="1" applyProtection="1">
      <alignment horizontal="center"/>
      <protection locked="0"/>
    </xf>
    <xf numFmtId="164" fontId="4" fillId="2" borderId="78" xfId="1" applyNumberFormat="1" applyFont="1" applyFill="1" applyBorder="1" applyAlignment="1" applyProtection="1">
      <alignment horizontal="right"/>
    </xf>
    <xf numFmtId="164" fontId="7" fillId="2" borderId="125" xfId="1" applyNumberFormat="1" applyFont="1" applyFill="1" applyBorder="1" applyProtection="1"/>
    <xf numFmtId="164" fontId="4" fillId="2" borderId="78" xfId="1" applyNumberFormat="1" applyFont="1" applyFill="1" applyBorder="1" applyProtection="1"/>
    <xf numFmtId="164" fontId="5" fillId="2" borderId="0" xfId="1" applyNumberFormat="1" applyFont="1" applyFill="1" applyBorder="1" applyProtection="1"/>
    <xf numFmtId="164" fontId="4" fillId="2" borderId="125" xfId="1" applyNumberFormat="1" applyFont="1" applyFill="1" applyBorder="1" applyProtection="1"/>
    <xf numFmtId="164" fontId="4" fillId="2" borderId="0" xfId="1" applyNumberFormat="1" applyFont="1" applyFill="1" applyBorder="1" applyProtection="1"/>
    <xf numFmtId="165" fontId="4" fillId="2" borderId="126" xfId="20" applyFont="1" applyFill="1" applyBorder="1" applyProtection="1"/>
    <xf numFmtId="165" fontId="4" fillId="2" borderId="82" xfId="20" applyFont="1" applyFill="1" applyBorder="1" applyProtection="1"/>
    <xf numFmtId="164" fontId="4" fillId="2" borderId="82" xfId="1" applyNumberFormat="1" applyFont="1" applyFill="1" applyBorder="1" applyProtection="1"/>
    <xf numFmtId="164" fontId="4" fillId="2" borderId="127" xfId="1" applyNumberFormat="1" applyFont="1" applyFill="1" applyBorder="1" applyProtection="1"/>
    <xf numFmtId="165" fontId="4" fillId="2" borderId="124" xfId="20" applyFont="1" applyFill="1" applyBorder="1" applyProtection="1"/>
    <xf numFmtId="165" fontId="4" fillId="2" borderId="128" xfId="20" applyFont="1" applyFill="1" applyBorder="1" applyProtection="1"/>
    <xf numFmtId="164" fontId="4" fillId="2" borderId="128" xfId="1" applyNumberFormat="1" applyFont="1" applyFill="1" applyBorder="1" applyProtection="1"/>
    <xf numFmtId="164" fontId="4" fillId="2" borderId="123" xfId="1" applyNumberFormat="1" applyFont="1" applyFill="1" applyBorder="1" applyProtection="1"/>
    <xf numFmtId="165" fontId="4" fillId="0" borderId="0" xfId="20" applyFont="1"/>
    <xf numFmtId="164" fontId="4" fillId="2" borderId="118" xfId="1" applyNumberFormat="1" applyFont="1" applyFill="1" applyBorder="1" applyProtection="1"/>
    <xf numFmtId="164" fontId="33" fillId="0" borderId="0" xfId="1" applyNumberFormat="1" applyFont="1" applyFill="1" applyBorder="1" applyAlignment="1" applyProtection="1">
      <alignment horizontal="left"/>
    </xf>
    <xf numFmtId="164" fontId="4" fillId="0" borderId="0" xfId="1" applyNumberFormat="1" applyFont="1" applyFill="1" applyBorder="1" applyProtection="1"/>
    <xf numFmtId="164" fontId="4" fillId="0" borderId="125" xfId="1" applyNumberFormat="1" applyFont="1" applyFill="1" applyBorder="1" applyProtection="1"/>
    <xf numFmtId="43" fontId="4" fillId="0" borderId="0" xfId="1" applyFont="1" applyFill="1" applyProtection="1"/>
    <xf numFmtId="164" fontId="4" fillId="0" borderId="0" xfId="1" applyNumberFormat="1" applyFont="1" applyFill="1" applyProtection="1"/>
    <xf numFmtId="43" fontId="4" fillId="0" borderId="0" xfId="1" applyFont="1" applyFill="1" applyBorder="1" applyAlignment="1" applyProtection="1">
      <alignment horizontal="left"/>
    </xf>
    <xf numFmtId="164" fontId="4" fillId="2" borderId="119" xfId="1" applyNumberFormat="1" applyFont="1" applyFill="1" applyBorder="1" applyProtection="1"/>
    <xf numFmtId="164" fontId="4" fillId="0" borderId="0" xfId="1" applyNumberFormat="1" applyFont="1" applyFill="1" applyBorder="1" applyProtection="1">
      <protection locked="0"/>
    </xf>
    <xf numFmtId="164" fontId="4" fillId="0" borderId="78" xfId="1" applyNumberFormat="1" applyFont="1" applyFill="1" applyBorder="1" applyProtection="1"/>
    <xf numFmtId="0" fontId="4" fillId="0" borderId="82" xfId="1" applyNumberFormat="1" applyFont="1" applyFill="1" applyBorder="1" applyAlignment="1" applyProtection="1">
      <alignment horizontal="center"/>
    </xf>
    <xf numFmtId="43" fontId="4" fillId="0" borderId="0" xfId="1" applyFont="1" applyFill="1" applyBorder="1" applyAlignment="1" applyProtection="1">
      <alignment horizontal="left" indent="1"/>
    </xf>
    <xf numFmtId="164" fontId="4" fillId="0" borderId="129" xfId="1" applyNumberFormat="1" applyFont="1" applyFill="1" applyBorder="1" applyProtection="1">
      <protection locked="0"/>
    </xf>
    <xf numFmtId="0" fontId="4" fillId="0" borderId="130" xfId="1" applyNumberFormat="1" applyFont="1" applyFill="1" applyBorder="1" applyAlignment="1" applyProtection="1">
      <alignment horizontal="center"/>
    </xf>
    <xf numFmtId="164" fontId="4" fillId="2" borderId="131" xfId="1" applyNumberFormat="1" applyFont="1" applyFill="1" applyBorder="1" applyProtection="1"/>
    <xf numFmtId="0" fontId="4" fillId="0" borderId="130" xfId="1" applyNumberFormat="1" applyFont="1" applyFill="1" applyBorder="1" applyAlignment="1" applyProtection="1">
      <alignment horizontal="center"/>
      <protection locked="0"/>
    </xf>
    <xf numFmtId="164" fontId="4" fillId="2" borderId="132" xfId="1" applyNumberFormat="1" applyFont="1" applyFill="1" applyBorder="1" applyProtection="1"/>
    <xf numFmtId="164" fontId="4" fillId="0" borderId="4" xfId="1" applyNumberFormat="1" applyFont="1" applyFill="1" applyBorder="1" applyAlignment="1" applyProtection="1">
      <alignment horizontal="center"/>
    </xf>
    <xf numFmtId="165" fontId="11" fillId="0" borderId="0" xfId="20"/>
    <xf numFmtId="49" fontId="4" fillId="0" borderId="130" xfId="1" quotePrefix="1" applyNumberFormat="1" applyFont="1" applyFill="1" applyBorder="1" applyAlignment="1" applyProtection="1">
      <alignment horizontal="center"/>
    </xf>
    <xf numFmtId="164" fontId="3" fillId="0" borderId="4" xfId="1" applyNumberFormat="1" applyFont="1" applyFill="1" applyBorder="1" applyAlignment="1" applyProtection="1">
      <alignment horizontal="center"/>
    </xf>
    <xf numFmtId="164" fontId="4" fillId="0" borderId="0" xfId="1" applyNumberFormat="1" applyFont="1" applyFill="1" applyBorder="1" applyAlignment="1" applyProtection="1">
      <alignment horizontal="left"/>
    </xf>
    <xf numFmtId="164" fontId="49" fillId="0" borderId="4" xfId="1" applyNumberFormat="1" applyFont="1" applyFill="1" applyBorder="1" applyAlignment="1" applyProtection="1">
      <alignment horizontal="center"/>
    </xf>
    <xf numFmtId="164" fontId="4" fillId="0" borderId="78" xfId="1" applyNumberFormat="1" applyFont="1" applyFill="1" applyBorder="1" applyAlignment="1" applyProtection="1">
      <alignment horizontal="center"/>
    </xf>
    <xf numFmtId="164" fontId="4" fillId="0" borderId="0" xfId="1" applyNumberFormat="1" applyFont="1" applyFill="1" applyBorder="1" applyAlignment="1" applyProtection="1">
      <alignment horizontal="center"/>
    </xf>
    <xf numFmtId="164" fontId="3" fillId="0" borderId="0" xfId="1" applyNumberFormat="1" applyFont="1" applyFill="1" applyAlignment="1" applyProtection="1">
      <alignment horizontal="center"/>
    </xf>
    <xf numFmtId="164" fontId="49" fillId="0" borderId="0" xfId="1" applyNumberFormat="1" applyFont="1" applyFill="1" applyAlignment="1" applyProtection="1">
      <alignment horizontal="center"/>
    </xf>
    <xf numFmtId="164" fontId="4" fillId="0" borderId="0" xfId="1" applyNumberFormat="1" applyFont="1" applyFill="1" applyAlignment="1" applyProtection="1">
      <alignment horizontal="center"/>
    </xf>
    <xf numFmtId="164" fontId="4" fillId="0" borderId="0" xfId="1" applyNumberFormat="1" applyFont="1" applyBorder="1"/>
    <xf numFmtId="164" fontId="3" fillId="0" borderId="0" xfId="1" quotePrefix="1" applyNumberFormat="1" applyFont="1" applyFill="1" applyBorder="1" applyAlignment="1" applyProtection="1">
      <alignment horizontal="center"/>
    </xf>
    <xf numFmtId="164" fontId="49" fillId="0" borderId="0" xfId="1" quotePrefix="1" applyNumberFormat="1" applyFont="1" applyFill="1" applyBorder="1" applyAlignment="1" applyProtection="1">
      <alignment horizontal="center"/>
    </xf>
    <xf numFmtId="164" fontId="3" fillId="0" borderId="0" xfId="1" applyNumberFormat="1" applyFont="1" applyFill="1" applyBorder="1" applyAlignment="1" applyProtection="1">
      <alignment horizontal="left"/>
    </xf>
    <xf numFmtId="164" fontId="3" fillId="0" borderId="125" xfId="1" applyNumberFormat="1" applyFont="1" applyFill="1" applyBorder="1" applyAlignment="1" applyProtection="1">
      <alignment horizontal="left"/>
    </xf>
    <xf numFmtId="164" fontId="4" fillId="0" borderId="0" xfId="1" applyNumberFormat="1" applyFont="1" applyFill="1"/>
    <xf numFmtId="165" fontId="4" fillId="0" borderId="0" xfId="20" applyFont="1" applyProtection="1"/>
    <xf numFmtId="164" fontId="49" fillId="0" borderId="0" xfId="1" applyNumberFormat="1" applyFont="1" applyFill="1" applyAlignment="1" applyProtection="1">
      <alignment horizontal="left" vertical="center"/>
    </xf>
    <xf numFmtId="49" fontId="3" fillId="0" borderId="118" xfId="1" applyNumberFormat="1" applyFont="1" applyFill="1" applyBorder="1" applyAlignment="1" applyProtection="1">
      <alignment horizontal="center" vertical="center"/>
      <protection locked="0"/>
    </xf>
    <xf numFmtId="164" fontId="33" fillId="0" borderId="0" xfId="1" applyNumberFormat="1" applyFont="1" applyFill="1" applyBorder="1" applyAlignment="1" applyProtection="1">
      <alignment horizontal="center"/>
    </xf>
    <xf numFmtId="49" fontId="33" fillId="0" borderId="0" xfId="1" applyNumberFormat="1" applyFont="1" applyFill="1" applyBorder="1" applyAlignment="1" applyProtection="1">
      <alignment horizontal="center"/>
    </xf>
    <xf numFmtId="164" fontId="4" fillId="0" borderId="0" xfId="1" quotePrefix="1" applyNumberFormat="1" applyFont="1" applyFill="1" applyBorder="1" applyAlignment="1" applyProtection="1">
      <alignment horizontal="center"/>
    </xf>
    <xf numFmtId="175" fontId="3" fillId="0" borderId="118" xfId="1" applyNumberFormat="1" applyFont="1" applyFill="1" applyBorder="1" applyAlignment="1" applyProtection="1">
      <alignment horizontal="center" vertical="center"/>
      <protection locked="0"/>
    </xf>
    <xf numFmtId="164" fontId="49" fillId="0" borderId="0" xfId="1" applyNumberFormat="1" applyFont="1" applyFill="1" applyAlignment="1" applyProtection="1"/>
    <xf numFmtId="164" fontId="23" fillId="0" borderId="0" xfId="1" applyNumberFormat="1" applyFont="1" applyFill="1" applyAlignment="1" applyProtection="1"/>
    <xf numFmtId="165" fontId="4" fillId="0" borderId="0" xfId="20" applyFont="1" applyAlignment="1" applyProtection="1"/>
    <xf numFmtId="165" fontId="11" fillId="0" borderId="44" xfId="20" applyBorder="1"/>
    <xf numFmtId="165" fontId="11" fillId="0" borderId="2" xfId="20" applyBorder="1" applyAlignment="1" applyProtection="1">
      <alignment horizontal="center" vertical="center"/>
      <protection locked="0"/>
    </xf>
    <xf numFmtId="165" fontId="11" fillId="0" borderId="0" xfId="20" applyBorder="1" applyAlignment="1">
      <alignment horizontal="center"/>
    </xf>
    <xf numFmtId="0" fontId="3" fillId="0" borderId="118" xfId="1" applyNumberFormat="1" applyFont="1" applyFill="1" applyBorder="1" applyAlignment="1" applyProtection="1">
      <alignment horizontal="center" vertical="center"/>
      <protection locked="0"/>
    </xf>
    <xf numFmtId="0" fontId="0" fillId="0" borderId="0" xfId="0" applyFill="1" applyBorder="1" applyAlignment="1">
      <alignment horizontal="center"/>
    </xf>
    <xf numFmtId="0" fontId="8" fillId="0" borderId="0" xfId="0" applyFont="1" applyFill="1" applyBorder="1"/>
    <xf numFmtId="44" fontId="8" fillId="0" borderId="0" xfId="10" applyNumberFormat="1" applyFont="1" applyFill="1" applyBorder="1" applyAlignment="1">
      <alignment horizontal="right"/>
    </xf>
    <xf numFmtId="0" fontId="4" fillId="0" borderId="0" xfId="12" applyFont="1" applyFill="1" applyBorder="1" applyAlignment="1">
      <alignment horizontal="left"/>
    </xf>
    <xf numFmtId="0" fontId="4" fillId="0" borderId="0" xfId="12" applyNumberFormat="1" applyFont="1" applyFill="1" applyBorder="1" applyAlignment="1">
      <alignment horizontal="center" vertical="center" wrapText="1"/>
    </xf>
    <xf numFmtId="0" fontId="4" fillId="0" borderId="0" xfId="12" applyNumberFormat="1" applyFont="1" applyFill="1" applyBorder="1" applyAlignment="1">
      <alignment horizontal="center" vertical="center"/>
    </xf>
    <xf numFmtId="0" fontId="4" fillId="0" borderId="0" xfId="12" quotePrefix="1" applyNumberFormat="1" applyFont="1" applyFill="1" applyBorder="1" applyAlignment="1">
      <alignment horizontal="center" vertical="center"/>
    </xf>
    <xf numFmtId="41" fontId="4" fillId="0" borderId="0" xfId="12" applyNumberFormat="1" applyFont="1" applyFill="1" applyBorder="1"/>
    <xf numFmtId="49" fontId="4" fillId="0" borderId="0" xfId="12" applyNumberFormat="1" applyFont="1" applyFill="1" applyBorder="1" applyAlignment="1">
      <alignment vertical="center" wrapText="1"/>
    </xf>
    <xf numFmtId="0" fontId="4" fillId="0" borderId="0" xfId="21" quotePrefix="1" applyNumberFormat="1" applyFont="1" applyFill="1" applyBorder="1" applyAlignment="1">
      <alignment horizontal="center" vertical="center" wrapText="1"/>
    </xf>
    <xf numFmtId="0" fontId="4" fillId="0" borderId="0" xfId="12" quotePrefix="1" applyNumberFormat="1" applyFont="1" applyFill="1" applyBorder="1" applyAlignment="1">
      <alignment horizontal="center" vertical="center" wrapText="1"/>
    </xf>
    <xf numFmtId="49" fontId="4" fillId="0" borderId="0" xfId="12" applyNumberFormat="1" applyFont="1" applyFill="1" applyBorder="1" applyAlignment="1">
      <alignment horizontal="center" vertical="center" wrapText="1"/>
    </xf>
    <xf numFmtId="0" fontId="4" fillId="0" borderId="0" xfId="12" applyFont="1" applyFill="1" applyBorder="1"/>
    <xf numFmtId="49" fontId="4" fillId="0" borderId="0" xfId="12" applyNumberFormat="1" applyFont="1" applyFill="1" applyBorder="1" applyAlignment="1">
      <alignment horizontal="center" vertical="center"/>
    </xf>
    <xf numFmtId="49" fontId="4" fillId="0" borderId="0" xfId="12" quotePrefix="1" applyNumberFormat="1" applyFont="1" applyFill="1" applyBorder="1" applyAlignment="1">
      <alignment horizontal="center" vertical="center"/>
    </xf>
    <xf numFmtId="49" fontId="4" fillId="0" borderId="0" xfId="21" quotePrefix="1" applyNumberFormat="1" applyFont="1" applyFill="1" applyBorder="1" applyAlignment="1">
      <alignment horizontal="center" vertical="center" wrapText="1"/>
    </xf>
    <xf numFmtId="49" fontId="4" fillId="0" borderId="0" xfId="12" quotePrefix="1" applyNumberFormat="1" applyFont="1" applyFill="1" applyBorder="1" applyAlignment="1">
      <alignment horizontal="center" vertical="center" wrapText="1"/>
    </xf>
    <xf numFmtId="0" fontId="53" fillId="0" borderId="0" xfId="22" applyFont="1" applyFill="1" applyBorder="1" applyAlignment="1">
      <alignment horizontal="left"/>
    </xf>
    <xf numFmtId="41" fontId="4" fillId="0" borderId="135" xfId="22" applyNumberFormat="1" applyFont="1" applyFill="1" applyBorder="1" applyAlignment="1">
      <alignment horizontal="center"/>
    </xf>
    <xf numFmtId="41" fontId="4" fillId="0" borderId="134" xfId="22" applyNumberFormat="1" applyFont="1" applyFill="1" applyBorder="1" applyAlignment="1">
      <alignment horizontal="center"/>
    </xf>
    <xf numFmtId="41" fontId="4" fillId="0" borderId="133" xfId="22" applyNumberFormat="1" applyFont="1" applyFill="1" applyBorder="1" applyAlignment="1">
      <alignment horizontal="center"/>
    </xf>
    <xf numFmtId="43" fontId="53" fillId="0" borderId="135" xfId="22" applyNumberFormat="1" applyFont="1" applyFill="1" applyBorder="1" applyAlignment="1">
      <alignment horizontal="left"/>
    </xf>
    <xf numFmtId="43" fontId="53" fillId="0" borderId="134" xfId="21" applyFont="1" applyFill="1" applyBorder="1" applyAlignment="1">
      <alignment horizontal="center"/>
    </xf>
    <xf numFmtId="41" fontId="53" fillId="0" borderId="134" xfId="22" applyNumberFormat="1" applyFont="1" applyFill="1" applyBorder="1" applyAlignment="1">
      <alignment horizontal="center"/>
    </xf>
    <xf numFmtId="43" fontId="53" fillId="0" borderId="134" xfId="22" applyNumberFormat="1" applyFont="1" applyFill="1" applyBorder="1" applyAlignment="1">
      <alignment horizontal="left"/>
    </xf>
    <xf numFmtId="41" fontId="53" fillId="0" borderId="133" xfId="22" applyNumberFormat="1" applyFont="1" applyFill="1" applyBorder="1" applyAlignment="1">
      <alignment horizontal="center"/>
    </xf>
    <xf numFmtId="0" fontId="4" fillId="0" borderId="0" xfId="12" applyFont="1" applyFill="1"/>
    <xf numFmtId="164" fontId="0" fillId="0" borderId="0" xfId="21" applyNumberFormat="1" applyFont="1" applyFill="1"/>
    <xf numFmtId="43" fontId="0" fillId="0" borderId="0" xfId="21" applyFont="1" applyFill="1"/>
    <xf numFmtId="0" fontId="4" fillId="0" borderId="0" xfId="12" applyFill="1"/>
    <xf numFmtId="165" fontId="4" fillId="0" borderId="0" xfId="8" applyFont="1" applyProtection="1"/>
    <xf numFmtId="164" fontId="3" fillId="0" borderId="4" xfId="1" applyNumberFormat="1" applyFont="1" applyBorder="1" applyProtection="1"/>
    <xf numFmtId="165" fontId="4" fillId="0" borderId="4" xfId="8" applyFont="1" applyBorder="1" applyAlignment="1" applyProtection="1">
      <alignment horizontal="centerContinuous"/>
    </xf>
    <xf numFmtId="49" fontId="4" fillId="0" borderId="4" xfId="8" applyNumberFormat="1" applyFont="1" applyBorder="1" applyAlignment="1" applyProtection="1">
      <alignment horizontal="centerContinuous"/>
    </xf>
    <xf numFmtId="164" fontId="3" fillId="0" borderId="0" xfId="1" applyNumberFormat="1" applyFont="1" applyBorder="1" applyAlignment="1" applyProtection="1">
      <alignment horizontal="right"/>
    </xf>
    <xf numFmtId="165" fontId="4" fillId="9" borderId="0" xfId="8" applyFont="1" applyFill="1"/>
    <xf numFmtId="0" fontId="0" fillId="27" borderId="118" xfId="0" applyFill="1" applyBorder="1" applyAlignment="1">
      <alignment horizontal="center"/>
    </xf>
    <xf numFmtId="165" fontId="10" fillId="27" borderId="135" xfId="8" applyFont="1" applyFill="1" applyBorder="1" applyAlignment="1" applyProtection="1">
      <alignment horizontal="left"/>
    </xf>
    <xf numFmtId="49" fontId="6" fillId="0" borderId="130" xfId="8" applyNumberFormat="1" applyFont="1" applyBorder="1" applyAlignment="1" applyProtection="1">
      <alignment horizontal="center"/>
    </xf>
    <xf numFmtId="165" fontId="6" fillId="0" borderId="130" xfId="8" quotePrefix="1" applyFont="1" applyBorder="1" applyAlignment="1" applyProtection="1">
      <alignment horizontal="center"/>
    </xf>
    <xf numFmtId="165" fontId="6" fillId="0" borderId="123" xfId="8" applyFont="1" applyBorder="1" applyAlignment="1" applyProtection="1">
      <alignment horizontal="center"/>
    </xf>
    <xf numFmtId="165" fontId="6" fillId="0" borderId="88" xfId="8" applyFont="1" applyBorder="1" applyAlignment="1" applyProtection="1">
      <alignment horizontal="center"/>
    </xf>
    <xf numFmtId="49" fontId="6" fillId="0" borderId="94" xfId="8" applyNumberFormat="1" applyFont="1" applyBorder="1" applyAlignment="1" applyProtection="1">
      <alignment horizontal="center"/>
    </xf>
    <xf numFmtId="165" fontId="6" fillId="0" borderId="94" xfId="8" applyFont="1" applyBorder="1" applyAlignment="1" applyProtection="1">
      <alignment horizontal="center"/>
    </xf>
    <xf numFmtId="165" fontId="6" fillId="0" borderId="88" xfId="8" applyFont="1" applyBorder="1" applyProtection="1"/>
    <xf numFmtId="165" fontId="6" fillId="0" borderId="128" xfId="8" applyFont="1" applyBorder="1" applyProtection="1"/>
    <xf numFmtId="165" fontId="5" fillId="28" borderId="88" xfId="8" applyFont="1" applyFill="1" applyBorder="1" applyAlignment="1" applyProtection="1">
      <alignment horizontal="center"/>
    </xf>
    <xf numFmtId="165" fontId="5" fillId="0" borderId="88" xfId="8" applyFont="1" applyBorder="1" applyAlignment="1" applyProtection="1">
      <alignment horizontal="center"/>
    </xf>
    <xf numFmtId="165" fontId="5" fillId="0" borderId="124" xfId="8" applyFont="1" applyBorder="1" applyAlignment="1" applyProtection="1">
      <alignment horizontal="center"/>
    </xf>
    <xf numFmtId="165" fontId="6" fillId="0" borderId="88" xfId="9" applyFont="1" applyBorder="1" applyAlignment="1" applyProtection="1">
      <alignment horizontal="center"/>
    </xf>
    <xf numFmtId="165" fontId="6" fillId="20" borderId="88" xfId="9" applyFont="1" applyFill="1" applyBorder="1" applyAlignment="1" applyProtection="1">
      <alignment horizontal="center"/>
    </xf>
    <xf numFmtId="165" fontId="6" fillId="0" borderId="88" xfId="9" applyFont="1" applyFill="1" applyBorder="1" applyAlignment="1" applyProtection="1">
      <alignment horizontal="center"/>
    </xf>
    <xf numFmtId="165" fontId="6" fillId="28" borderId="88" xfId="9" applyFont="1" applyFill="1" applyBorder="1" applyAlignment="1" applyProtection="1">
      <alignment horizontal="center"/>
    </xf>
    <xf numFmtId="165" fontId="5" fillId="28" borderId="123" xfId="8" applyFont="1" applyFill="1" applyBorder="1" applyAlignment="1" applyProtection="1">
      <alignment horizontal="center"/>
    </xf>
    <xf numFmtId="165" fontId="6" fillId="0" borderId="78" xfId="8" applyFont="1" applyBorder="1" applyAlignment="1" applyProtection="1">
      <alignment horizontal="center"/>
    </xf>
    <xf numFmtId="165" fontId="6" fillId="0" borderId="94" xfId="8" applyFont="1" applyBorder="1" applyProtection="1"/>
    <xf numFmtId="165" fontId="5" fillId="0" borderId="94" xfId="8" applyFont="1" applyBorder="1" applyAlignment="1" applyProtection="1">
      <alignment horizontal="center"/>
    </xf>
    <xf numFmtId="165" fontId="6" fillId="0" borderId="94" xfId="9" applyFont="1" applyBorder="1" applyAlignment="1" applyProtection="1">
      <alignment horizontal="center"/>
    </xf>
    <xf numFmtId="165" fontId="6" fillId="20" borderId="94" xfId="9" applyFont="1" applyFill="1" applyBorder="1" applyAlignment="1" applyProtection="1">
      <alignment horizontal="center"/>
    </xf>
    <xf numFmtId="165" fontId="6" fillId="0" borderId="94" xfId="9" applyFont="1" applyFill="1" applyBorder="1" applyAlignment="1" applyProtection="1">
      <alignment horizontal="center"/>
    </xf>
    <xf numFmtId="165" fontId="6" fillId="28" borderId="94" xfId="9" applyFont="1" applyFill="1" applyBorder="1" applyAlignment="1" applyProtection="1">
      <alignment horizontal="center"/>
    </xf>
    <xf numFmtId="165" fontId="5" fillId="28" borderId="78" xfId="8" applyFont="1" applyFill="1" applyBorder="1" applyAlignment="1" applyProtection="1">
      <alignment horizontal="center"/>
    </xf>
    <xf numFmtId="165" fontId="6" fillId="0" borderId="136" xfId="8" applyFont="1" applyBorder="1" applyAlignment="1" applyProtection="1">
      <alignment horizontal="center"/>
    </xf>
    <xf numFmtId="165" fontId="6" fillId="0" borderId="119" xfId="8" applyFont="1" applyBorder="1" applyAlignment="1" applyProtection="1">
      <alignment horizontal="left" indent="1"/>
    </xf>
    <xf numFmtId="165" fontId="6" fillId="0" borderId="119" xfId="8" applyFont="1" applyBorder="1" applyAlignment="1" applyProtection="1">
      <alignment horizontal="center"/>
    </xf>
    <xf numFmtId="49" fontId="6" fillId="0" borderId="119" xfId="8" applyNumberFormat="1" applyFont="1" applyFill="1" applyBorder="1" applyAlignment="1" applyProtection="1">
      <alignment horizontal="center"/>
    </xf>
    <xf numFmtId="165" fontId="6" fillId="0" borderId="119" xfId="8" applyFont="1" applyFill="1" applyBorder="1" applyAlignment="1" applyProtection="1">
      <alignment horizontal="center"/>
    </xf>
    <xf numFmtId="165" fontId="5" fillId="0" borderId="119" xfId="8" applyFont="1" applyBorder="1" applyAlignment="1" applyProtection="1">
      <alignment horizontal="center"/>
    </xf>
    <xf numFmtId="165" fontId="6" fillId="0" borderId="130" xfId="8" applyFont="1" applyBorder="1" applyAlignment="1" applyProtection="1">
      <alignment horizontal="center"/>
    </xf>
    <xf numFmtId="167" fontId="6" fillId="20" borderId="119" xfId="10" applyNumberFormat="1" applyFont="1" applyFill="1" applyBorder="1" applyAlignment="1" applyProtection="1">
      <alignment horizontal="center"/>
    </xf>
    <xf numFmtId="9" fontId="6" fillId="0" borderId="119" xfId="10" applyFont="1" applyFill="1" applyBorder="1" applyAlignment="1" applyProtection="1">
      <alignment horizontal="center"/>
    </xf>
    <xf numFmtId="9" fontId="6" fillId="28" borderId="119" xfId="10" applyFont="1" applyFill="1" applyBorder="1" applyAlignment="1" applyProtection="1">
      <alignment horizontal="center"/>
    </xf>
    <xf numFmtId="10" fontId="5" fillId="28" borderId="136" xfId="10" applyNumberFormat="1" applyFont="1" applyFill="1" applyBorder="1" applyAlignment="1" applyProtection="1">
      <alignment horizontal="center"/>
    </xf>
    <xf numFmtId="10" fontId="5" fillId="28" borderId="119" xfId="10" applyNumberFormat="1" applyFont="1" applyFill="1" applyBorder="1" applyAlignment="1" applyProtection="1">
      <alignment horizontal="center"/>
    </xf>
    <xf numFmtId="173" fontId="5" fillId="12" borderId="137" xfId="8" applyNumberFormat="1" applyFont="1" applyFill="1" applyBorder="1" applyAlignment="1" applyProtection="1">
      <alignment horizontal="center"/>
      <protection locked="0"/>
    </xf>
    <xf numFmtId="49" fontId="5" fillId="12" borderId="137" xfId="8" applyNumberFormat="1" applyFont="1" applyFill="1" applyBorder="1" applyAlignment="1" applyProtection="1">
      <alignment horizontal="center"/>
      <protection locked="0"/>
    </xf>
    <xf numFmtId="165" fontId="5" fillId="12" borderId="118" xfId="8" applyFont="1" applyFill="1" applyBorder="1" applyAlignment="1" applyProtection="1">
      <alignment horizontal="center"/>
      <protection locked="0"/>
    </xf>
    <xf numFmtId="2" fontId="5" fillId="12" borderId="62" xfId="8" applyNumberFormat="1" applyFont="1" applyFill="1" applyBorder="1" applyAlignment="1" applyProtection="1">
      <alignment horizontal="center"/>
      <protection locked="0"/>
    </xf>
    <xf numFmtId="41" fontId="5" fillId="28" borderId="135" xfId="9" applyNumberFormat="1" applyFont="1" applyFill="1" applyBorder="1" applyAlignment="1" applyProtection="1">
      <alignment horizontal="center"/>
    </xf>
    <xf numFmtId="41" fontId="5" fillId="28" borderId="118" xfId="8" applyNumberFormat="1" applyFont="1" applyFill="1" applyBorder="1" applyAlignment="1" applyProtection="1"/>
    <xf numFmtId="41" fontId="5" fillId="28" borderId="137" xfId="8" applyNumberFormat="1" applyFont="1" applyFill="1" applyBorder="1" applyAlignment="1" applyProtection="1"/>
    <xf numFmtId="41" fontId="5" fillId="28" borderId="138" xfId="9" applyNumberFormat="1" applyFont="1" applyFill="1" applyBorder="1" applyAlignment="1" applyProtection="1">
      <alignment horizontal="center"/>
    </xf>
    <xf numFmtId="41" fontId="5" fillId="28" borderId="138" xfId="8" applyNumberFormat="1" applyFont="1" applyFill="1" applyBorder="1" applyProtection="1"/>
    <xf numFmtId="165" fontId="5" fillId="12" borderId="138" xfId="8" applyFont="1" applyFill="1" applyBorder="1" applyAlignment="1" applyProtection="1">
      <alignment horizontal="center"/>
      <protection locked="0"/>
    </xf>
    <xf numFmtId="165" fontId="5" fillId="12" borderId="138" xfId="8" applyFont="1" applyFill="1" applyBorder="1" applyAlignment="1" applyProtection="1">
      <alignment horizontal="left" wrapText="1"/>
      <protection locked="0"/>
    </xf>
    <xf numFmtId="41" fontId="5" fillId="12" borderId="62" xfId="8" applyNumberFormat="1" applyFont="1" applyFill="1" applyBorder="1" applyAlignment="1" applyProtection="1">
      <alignment horizontal="center"/>
      <protection locked="0"/>
    </xf>
    <xf numFmtId="169" fontId="5" fillId="27" borderId="138" xfId="8" applyNumberFormat="1" applyFont="1" applyFill="1" applyBorder="1" applyProtection="1"/>
    <xf numFmtId="2" fontId="5" fillId="27" borderId="138" xfId="8" applyNumberFormat="1" applyFont="1" applyFill="1" applyBorder="1" applyProtection="1"/>
    <xf numFmtId="165" fontId="4" fillId="0" borderId="0" xfId="9" applyFont="1" applyProtection="1"/>
    <xf numFmtId="165" fontId="4" fillId="0" borderId="4" xfId="9" applyFont="1" applyBorder="1" applyAlignment="1" applyProtection="1">
      <alignment horizontal="centerContinuous"/>
    </xf>
    <xf numFmtId="168" fontId="4" fillId="0" borderId="4" xfId="9" applyNumberFormat="1" applyFont="1" applyBorder="1" applyAlignment="1" applyProtection="1">
      <alignment horizontal="centerContinuous"/>
    </xf>
    <xf numFmtId="165" fontId="4" fillId="0" borderId="4" xfId="9" applyFont="1" applyBorder="1" applyProtection="1"/>
    <xf numFmtId="165" fontId="4" fillId="9" borderId="0" xfId="9" applyFont="1" applyFill="1"/>
    <xf numFmtId="0" fontId="0" fillId="27" borderId="138" xfId="0" applyFill="1" applyBorder="1" applyAlignment="1">
      <alignment horizontal="center"/>
    </xf>
    <xf numFmtId="165" fontId="10" fillId="27" borderId="139" xfId="8" applyFont="1" applyFill="1" applyBorder="1" applyAlignment="1" applyProtection="1">
      <alignment horizontal="left"/>
    </xf>
    <xf numFmtId="49" fontId="6" fillId="0" borderId="130" xfId="9" applyNumberFormat="1" applyFont="1" applyBorder="1" applyAlignment="1" applyProtection="1">
      <alignment horizontal="center"/>
    </xf>
    <xf numFmtId="49" fontId="6" fillId="0" borderId="142" xfId="9" applyNumberFormat="1" applyFont="1" applyBorder="1" applyAlignment="1" applyProtection="1">
      <alignment horizontal="center"/>
    </xf>
    <xf numFmtId="49" fontId="6" fillId="0" borderId="142" xfId="9" applyNumberFormat="1" applyFont="1" applyBorder="1" applyAlignment="1" applyProtection="1"/>
    <xf numFmtId="165" fontId="6" fillId="0" borderId="143" xfId="8" applyFont="1" applyFill="1" applyBorder="1" applyAlignment="1" applyProtection="1">
      <alignment horizontal="center"/>
    </xf>
    <xf numFmtId="165" fontId="6" fillId="0" borderId="144" xfId="8" applyFont="1" applyFill="1" applyBorder="1" applyAlignment="1" applyProtection="1">
      <alignment horizontal="center"/>
    </xf>
    <xf numFmtId="9" fontId="6" fillId="0" borderId="144" xfId="10" applyFont="1" applyFill="1" applyBorder="1" applyAlignment="1" applyProtection="1">
      <alignment horizontal="center"/>
    </xf>
    <xf numFmtId="165" fontId="6" fillId="0" borderId="145" xfId="8" applyFont="1" applyBorder="1" applyAlignment="1" applyProtection="1">
      <alignment horizontal="center"/>
    </xf>
    <xf numFmtId="165" fontId="6" fillId="0" borderId="146" xfId="8" applyFont="1" applyBorder="1" applyAlignment="1" applyProtection="1">
      <alignment horizontal="center"/>
    </xf>
    <xf numFmtId="168" fontId="6" fillId="0" borderId="144" xfId="9" quotePrefix="1" applyNumberFormat="1" applyFont="1" applyBorder="1" applyAlignment="1" applyProtection="1">
      <alignment horizontal="center"/>
    </xf>
    <xf numFmtId="49" fontId="5" fillId="0" borderId="143" xfId="9" applyNumberFormat="1" applyFont="1" applyFill="1" applyBorder="1" applyAlignment="1" applyProtection="1">
      <alignment horizontal="center"/>
    </xf>
    <xf numFmtId="165" fontId="15" fillId="28" borderId="144" xfId="9" applyFont="1" applyFill="1" applyBorder="1" applyAlignment="1" applyProtection="1">
      <alignment horizontal="center"/>
    </xf>
    <xf numFmtId="49" fontId="5" fillId="0" borderId="88" xfId="9" applyNumberFormat="1" applyFont="1" applyFill="1" applyBorder="1" applyAlignment="1" applyProtection="1">
      <alignment horizontal="center"/>
    </xf>
    <xf numFmtId="165" fontId="6" fillId="0" borderId="78" xfId="8" applyFont="1" applyFill="1" applyBorder="1" applyAlignment="1" applyProtection="1">
      <alignment horizontal="center"/>
    </xf>
    <xf numFmtId="165" fontId="6" fillId="0" borderId="94" xfId="8" applyFont="1" applyFill="1" applyBorder="1" applyAlignment="1" applyProtection="1">
      <alignment horizontal="center"/>
    </xf>
    <xf numFmtId="165" fontId="6" fillId="0" borderId="20" xfId="9" applyFont="1" applyFill="1" applyBorder="1" applyAlignment="1" applyProtection="1">
      <alignment horizontal="center"/>
    </xf>
    <xf numFmtId="165" fontId="15" fillId="28" borderId="147" xfId="9" applyFont="1" applyFill="1" applyBorder="1" applyAlignment="1" applyProtection="1">
      <alignment horizontal="center"/>
    </xf>
    <xf numFmtId="165" fontId="5" fillId="20" borderId="147" xfId="9" applyFont="1" applyFill="1" applyBorder="1" applyProtection="1"/>
    <xf numFmtId="165" fontId="5" fillId="0" borderId="148" xfId="8" applyFont="1" applyBorder="1" applyAlignment="1" applyProtection="1">
      <alignment horizontal="center"/>
    </xf>
    <xf numFmtId="165" fontId="6" fillId="0" borderId="136" xfId="8" applyFont="1" applyFill="1" applyBorder="1" applyAlignment="1" applyProtection="1">
      <alignment horizontal="center"/>
    </xf>
    <xf numFmtId="165" fontId="6" fillId="0" borderId="119" xfId="8" applyFont="1" applyFill="1" applyBorder="1" applyAlignment="1" applyProtection="1">
      <alignment horizontal="left" indent="1"/>
    </xf>
    <xf numFmtId="165" fontId="6" fillId="0" borderId="136" xfId="9" applyFont="1" applyFill="1" applyBorder="1" applyAlignment="1" applyProtection="1">
      <alignment horizontal="center"/>
    </xf>
    <xf numFmtId="165" fontId="5" fillId="0" borderId="119" xfId="9" applyFont="1" applyFill="1" applyBorder="1" applyAlignment="1" applyProtection="1">
      <alignment horizontal="center"/>
    </xf>
    <xf numFmtId="165" fontId="5" fillId="28" borderId="119" xfId="9" applyFont="1" applyFill="1" applyBorder="1" applyAlignment="1" applyProtection="1">
      <alignment horizontal="center"/>
    </xf>
    <xf numFmtId="167" fontId="5" fillId="28" borderId="147" xfId="10" applyNumberFormat="1" applyFont="1" applyFill="1" applyBorder="1" applyAlignment="1" applyProtection="1">
      <alignment horizontal="center"/>
    </xf>
    <xf numFmtId="165" fontId="6" fillId="20" borderId="147" xfId="9" applyFont="1" applyFill="1" applyBorder="1" applyAlignment="1" applyProtection="1">
      <alignment horizontal="center"/>
    </xf>
    <xf numFmtId="173" fontId="5" fillId="12" borderId="118" xfId="9" applyNumberFormat="1" applyFont="1" applyFill="1" applyBorder="1" applyAlignment="1" applyProtection="1">
      <alignment horizontal="center"/>
      <protection locked="0"/>
    </xf>
    <xf numFmtId="165" fontId="5" fillId="12" borderId="118" xfId="9" applyFont="1" applyFill="1" applyBorder="1" applyAlignment="1" applyProtection="1">
      <alignment wrapText="1"/>
      <protection locked="0"/>
    </xf>
    <xf numFmtId="165" fontId="5" fillId="12" borderId="149" xfId="9" applyFont="1" applyFill="1" applyBorder="1" applyAlignment="1" applyProtection="1">
      <alignment wrapText="1"/>
      <protection locked="0"/>
    </xf>
    <xf numFmtId="168" fontId="5" fillId="12" borderId="118" xfId="9" applyNumberFormat="1" applyFont="1" applyFill="1" applyBorder="1" applyAlignment="1" applyProtection="1">
      <alignment horizontal="center"/>
      <protection locked="0"/>
    </xf>
    <xf numFmtId="165" fontId="5" fillId="12" borderId="149" xfId="9" applyFont="1" applyFill="1" applyBorder="1" applyAlignment="1" applyProtection="1">
      <alignment horizontal="center"/>
      <protection locked="0"/>
    </xf>
    <xf numFmtId="2" fontId="5" fillId="12" borderId="118" xfId="9" applyNumberFormat="1" applyFont="1" applyFill="1" applyBorder="1" applyAlignment="1" applyProtection="1">
      <alignment horizontal="center"/>
      <protection locked="0"/>
    </xf>
    <xf numFmtId="165" fontId="5" fillId="12" borderId="118" xfId="9" applyFont="1" applyFill="1" applyBorder="1" applyAlignment="1" applyProtection="1">
      <alignment horizontal="center"/>
    </xf>
    <xf numFmtId="41" fontId="5" fillId="28" borderId="118" xfId="9" applyNumberFormat="1" applyFont="1" applyFill="1" applyBorder="1" applyAlignment="1" applyProtection="1">
      <alignment horizontal="center"/>
    </xf>
    <xf numFmtId="175" fontId="5" fillId="12" borderId="119" xfId="9" applyNumberFormat="1" applyFont="1" applyFill="1" applyBorder="1" applyAlignment="1" applyProtection="1">
      <alignment horizontal="center"/>
    </xf>
    <xf numFmtId="41" fontId="5" fillId="28" borderId="119" xfId="9" applyNumberFormat="1" applyFont="1" applyFill="1" applyBorder="1" applyProtection="1"/>
    <xf numFmtId="41" fontId="5" fillId="28" borderId="127" xfId="9" applyNumberFormat="1" applyFont="1" applyFill="1" applyBorder="1" applyProtection="1"/>
    <xf numFmtId="41" fontId="5" fillId="28" borderId="118" xfId="1" applyNumberFormat="1" applyFont="1" applyFill="1" applyBorder="1" applyProtection="1"/>
    <xf numFmtId="41" fontId="5" fillId="12" borderId="118" xfId="1" applyNumberFormat="1" applyFont="1" applyFill="1" applyBorder="1" applyProtection="1">
      <protection locked="0"/>
    </xf>
    <xf numFmtId="41" fontId="5" fillId="28" borderId="118" xfId="9" applyNumberFormat="1" applyFont="1" applyFill="1" applyBorder="1" applyProtection="1"/>
    <xf numFmtId="2" fontId="5" fillId="27" borderId="118" xfId="9" applyNumberFormat="1" applyFont="1" applyFill="1" applyBorder="1" applyAlignment="1" applyProtection="1">
      <alignment horizontal="right"/>
    </xf>
    <xf numFmtId="41" fontId="5" fillId="27" borderId="118" xfId="9" applyNumberFormat="1" applyFont="1" applyFill="1" applyBorder="1" applyAlignment="1" applyProtection="1">
      <alignment horizontal="right"/>
    </xf>
    <xf numFmtId="165" fontId="5" fillId="12" borderId="84" xfId="8" applyFont="1" applyFill="1" applyBorder="1" applyAlignment="1" applyProtection="1">
      <alignment horizontal="left" vertical="top" wrapText="1"/>
      <protection locked="0"/>
    </xf>
    <xf numFmtId="0" fontId="18" fillId="5" borderId="86" xfId="0" applyFont="1" applyFill="1" applyBorder="1" applyAlignment="1" applyProtection="1">
      <alignment horizontal="center"/>
    </xf>
    <xf numFmtId="0" fontId="39" fillId="29" borderId="0" xfId="0" applyFont="1" applyFill="1" applyAlignment="1" applyProtection="1">
      <alignment horizontal="left" indent="2"/>
      <protection locked="0"/>
    </xf>
    <xf numFmtId="41" fontId="4" fillId="29" borderId="0" xfId="0" applyNumberFormat="1" applyFont="1" applyFill="1" applyBorder="1" applyAlignment="1" applyProtection="1">
      <alignment horizontal="left" indent="1"/>
      <protection locked="0"/>
    </xf>
    <xf numFmtId="165" fontId="5" fillId="2" borderId="16" xfId="8" applyFont="1" applyFill="1" applyBorder="1" applyAlignment="1" applyProtection="1">
      <alignment wrapText="1"/>
    </xf>
    <xf numFmtId="165" fontId="5" fillId="0" borderId="0" xfId="8" applyFont="1" applyBorder="1" applyAlignment="1" applyProtection="1">
      <alignment horizontal="center"/>
    </xf>
    <xf numFmtId="164" fontId="4" fillId="0" borderId="0" xfId="12" applyNumberFormat="1" applyFill="1"/>
    <xf numFmtId="0" fontId="4" fillId="0" borderId="0" xfId="12" applyFont="1" applyFill="1" applyBorder="1" applyAlignment="1">
      <alignment horizontal="center"/>
    </xf>
    <xf numFmtId="49" fontId="21" fillId="5" borderId="79" xfId="0" applyNumberFormat="1" applyFont="1" applyFill="1" applyBorder="1" applyAlignment="1" applyProtection="1">
      <alignment horizontal="center" vertical="top" wrapText="1"/>
      <protection locked="0"/>
    </xf>
    <xf numFmtId="0" fontId="4" fillId="0" borderId="0" xfId="0" applyFont="1" applyAlignment="1" applyProtection="1">
      <alignment horizontal="left" indent="1"/>
      <protection locked="0"/>
    </xf>
    <xf numFmtId="49" fontId="21" fillId="5" borderId="86" xfId="0" applyNumberFormat="1" applyFont="1" applyFill="1" applyBorder="1" applyAlignment="1" applyProtection="1">
      <alignment horizontal="center" vertical="top" wrapText="1"/>
      <protection locked="0"/>
    </xf>
    <xf numFmtId="49" fontId="18" fillId="5" borderId="89" xfId="0" applyNumberFormat="1" applyFont="1" applyFill="1" applyBorder="1" applyAlignment="1" applyProtection="1">
      <alignment horizontal="center" vertical="center" wrapText="1"/>
    </xf>
    <xf numFmtId="49" fontId="18" fillId="5" borderId="86" xfId="0" applyNumberFormat="1" applyFont="1" applyFill="1" applyBorder="1" applyAlignment="1" applyProtection="1">
      <alignment horizontal="center" vertical="center" wrapText="1"/>
    </xf>
    <xf numFmtId="49" fontId="18" fillId="5" borderId="75" xfId="0" applyNumberFormat="1" applyFont="1" applyFill="1" applyBorder="1" applyAlignment="1" applyProtection="1">
      <alignment horizontal="center" vertical="center" wrapText="1"/>
    </xf>
    <xf numFmtId="0" fontId="18" fillId="5" borderId="86" xfId="0" applyFont="1" applyFill="1" applyBorder="1" applyAlignment="1" applyProtection="1">
      <alignment vertical="center"/>
    </xf>
    <xf numFmtId="0" fontId="18" fillId="5" borderId="86" xfId="0" applyFont="1" applyFill="1" applyBorder="1" applyAlignment="1" applyProtection="1">
      <alignment horizontal="left" vertical="center"/>
    </xf>
    <xf numFmtId="49" fontId="18" fillId="5" borderId="104" xfId="0" applyNumberFormat="1" applyFont="1" applyFill="1" applyBorder="1" applyAlignment="1" applyProtection="1">
      <alignment horizontal="center" vertical="center" wrapText="1"/>
    </xf>
    <xf numFmtId="0" fontId="18" fillId="5" borderId="105" xfId="0" applyFont="1" applyFill="1" applyBorder="1" applyAlignment="1" applyProtection="1">
      <alignment horizontal="center" vertical="center"/>
    </xf>
    <xf numFmtId="0" fontId="18" fillId="0" borderId="0" xfId="0" applyFont="1" applyAlignment="1" applyProtection="1">
      <alignment vertical="center"/>
      <protection locked="0"/>
    </xf>
    <xf numFmtId="0" fontId="18" fillId="0" borderId="0" xfId="0" applyFont="1" applyAlignment="1" applyProtection="1">
      <alignment vertical="center"/>
    </xf>
    <xf numFmtId="0" fontId="18" fillId="10" borderId="0" xfId="0" applyFont="1" applyFill="1" applyAlignment="1" applyProtection="1">
      <alignment vertical="center"/>
    </xf>
    <xf numFmtId="0" fontId="6" fillId="9" borderId="0" xfId="0" applyFont="1" applyFill="1" applyAlignment="1">
      <alignment horizontal="left" indent="1"/>
    </xf>
    <xf numFmtId="165" fontId="6" fillId="13" borderId="9" xfId="8" applyFont="1" applyFill="1" applyBorder="1" applyAlignment="1" applyProtection="1">
      <alignment horizontal="left"/>
    </xf>
    <xf numFmtId="165" fontId="5" fillId="12" borderId="9" xfId="8" applyFont="1" applyFill="1" applyBorder="1" applyAlignment="1" applyProtection="1">
      <alignment horizontal="center" vertical="top" wrapText="1"/>
      <protection locked="0"/>
    </xf>
    <xf numFmtId="49" fontId="0" fillId="0" borderId="0" xfId="0" applyNumberFormat="1" applyBorder="1"/>
    <xf numFmtId="0" fontId="5" fillId="19" borderId="9" xfId="0" applyNumberFormat="1" applyFont="1" applyFill="1" applyBorder="1" applyAlignment="1">
      <alignment horizontal="center"/>
    </xf>
    <xf numFmtId="0" fontId="8" fillId="3" borderId="6" xfId="0" applyFont="1" applyFill="1" applyBorder="1" applyAlignment="1">
      <alignment horizontal="center"/>
    </xf>
    <xf numFmtId="0" fontId="54" fillId="3" borderId="16" xfId="0" applyFont="1" applyFill="1" applyBorder="1" applyAlignment="1">
      <alignment horizontal="center"/>
    </xf>
    <xf numFmtId="41" fontId="5" fillId="12" borderId="138" xfId="1" applyNumberFormat="1" applyFont="1" applyFill="1" applyBorder="1" applyAlignment="1" applyProtection="1">
      <alignment vertical="center"/>
    </xf>
    <xf numFmtId="181" fontId="0" fillId="0" borderId="0" xfId="1" applyNumberFormat="1" applyFont="1"/>
    <xf numFmtId="0" fontId="38" fillId="0" borderId="0" xfId="0" applyFont="1" applyAlignment="1">
      <alignment horizontal="center"/>
    </xf>
    <xf numFmtId="0" fontId="5" fillId="11" borderId="9" xfId="1" applyNumberFormat="1" applyFont="1" applyFill="1" applyBorder="1" applyAlignment="1" applyProtection="1">
      <alignment horizontal="center"/>
    </xf>
    <xf numFmtId="0" fontId="57" fillId="0" borderId="0" xfId="0" applyFont="1" applyAlignment="1">
      <alignment horizontal="left"/>
    </xf>
    <xf numFmtId="0" fontId="3" fillId="0" borderId="0" xfId="0" applyFont="1" applyAlignment="1">
      <alignment horizontal="center" vertical="center" wrapText="1"/>
    </xf>
    <xf numFmtId="0" fontId="3" fillId="9" borderId="0" xfId="0" applyFont="1" applyFill="1" applyAlignment="1">
      <alignment vertical="center" wrapText="1"/>
    </xf>
    <xf numFmtId="0" fontId="3" fillId="0" borderId="0" xfId="0" applyFont="1" applyAlignment="1">
      <alignment vertical="center" wrapText="1"/>
    </xf>
    <xf numFmtId="164" fontId="4" fillId="0" borderId="0" xfId="1" applyNumberFormat="1" applyFont="1" applyAlignment="1">
      <alignment vertical="center" wrapText="1"/>
    </xf>
    <xf numFmtId="0" fontId="4" fillId="0" borderId="0" xfId="0" applyFont="1" applyAlignment="1">
      <alignment vertical="center" wrapText="1"/>
    </xf>
    <xf numFmtId="164" fontId="5" fillId="0" borderId="0" xfId="1" applyNumberFormat="1" applyFont="1" applyAlignment="1">
      <alignment vertical="center" wrapText="1"/>
    </xf>
    <xf numFmtId="44" fontId="0" fillId="0" borderId="0" xfId="24" applyFont="1"/>
    <xf numFmtId="165" fontId="5" fillId="2" borderId="94" xfId="8" applyFont="1" applyFill="1" applyBorder="1" applyAlignment="1" applyProtection="1">
      <alignment horizontal="center"/>
    </xf>
    <xf numFmtId="10" fontId="5" fillId="2" borderId="119" xfId="10" applyNumberFormat="1" applyFont="1" applyFill="1" applyBorder="1" applyAlignment="1" applyProtection="1">
      <alignment horizontal="center"/>
    </xf>
    <xf numFmtId="10" fontId="5" fillId="11" borderId="16" xfId="9" applyNumberFormat="1" applyFont="1" applyFill="1" applyBorder="1" applyAlignment="1" applyProtection="1">
      <alignment horizontal="center"/>
    </xf>
    <xf numFmtId="41" fontId="5" fillId="2" borderId="159" xfId="9" applyNumberFormat="1" applyFont="1" applyFill="1" applyBorder="1" applyAlignment="1" applyProtection="1">
      <alignment horizontal="center"/>
    </xf>
    <xf numFmtId="41" fontId="5" fillId="2" borderId="161" xfId="9" applyNumberFormat="1" applyFont="1" applyFill="1" applyBorder="1" applyAlignment="1" applyProtection="1">
      <alignment horizontal="center"/>
      <protection locked="0"/>
    </xf>
    <xf numFmtId="41" fontId="4" fillId="22" borderId="68" xfId="0" applyNumberFormat="1" applyFont="1" applyFill="1" applyBorder="1" applyAlignment="1" applyProtection="1">
      <alignment horizontal="left" vertical="top"/>
      <protection locked="0"/>
    </xf>
    <xf numFmtId="175" fontId="5" fillId="2" borderId="163" xfId="1" applyNumberFormat="1" applyFont="1" applyFill="1" applyBorder="1" applyAlignment="1" applyProtection="1">
      <alignment horizontal="center"/>
      <protection locked="0"/>
    </xf>
    <xf numFmtId="0" fontId="39" fillId="17" borderId="164" xfId="0" applyFont="1" applyFill="1" applyBorder="1" applyAlignment="1" applyProtection="1">
      <alignment horizontal="center" vertical="center"/>
      <protection locked="0"/>
    </xf>
    <xf numFmtId="42" fontId="39" fillId="17" borderId="164" xfId="0" applyNumberFormat="1" applyFont="1" applyFill="1" applyBorder="1" applyAlignment="1" applyProtection="1">
      <alignment horizontal="left" vertical="center" indent="1"/>
      <protection locked="0"/>
    </xf>
    <xf numFmtId="165" fontId="5" fillId="12" borderId="164" xfId="8" applyFont="1" applyFill="1" applyBorder="1" applyAlignment="1" applyProtection="1">
      <alignment horizontal="center"/>
      <protection locked="0"/>
    </xf>
    <xf numFmtId="165" fontId="5" fillId="12" borderId="164" xfId="8" applyFont="1" applyFill="1" applyBorder="1" applyAlignment="1" applyProtection="1">
      <alignment horizontal="center" vertical="top" wrapText="1"/>
      <protection locked="0"/>
    </xf>
    <xf numFmtId="0" fontId="0" fillId="0" borderId="0" xfId="0" applyFill="1" applyAlignment="1">
      <alignment horizontal="left"/>
    </xf>
    <xf numFmtId="0" fontId="3" fillId="0" borderId="0" xfId="0" applyFont="1" applyAlignment="1">
      <alignment horizontal="center"/>
    </xf>
    <xf numFmtId="165" fontId="5" fillId="0" borderId="144" xfId="8" applyFont="1" applyBorder="1" applyAlignment="1" applyProtection="1">
      <alignment horizontal="center"/>
    </xf>
    <xf numFmtId="165" fontId="6" fillId="28" borderId="0" xfId="8" applyFont="1" applyFill="1" applyBorder="1" applyAlignment="1" applyProtection="1">
      <alignment horizontal="center"/>
    </xf>
    <xf numFmtId="165" fontId="6" fillId="28" borderId="3" xfId="8" applyFont="1" applyFill="1" applyBorder="1" applyAlignment="1" applyProtection="1">
      <alignment horizontal="center"/>
    </xf>
    <xf numFmtId="44" fontId="4" fillId="0" borderId="0" xfId="24" applyFont="1"/>
    <xf numFmtId="0" fontId="3" fillId="9" borderId="0" xfId="0" applyFont="1" applyFill="1" applyAlignment="1">
      <alignment horizontal="center" vertical="center" wrapText="1"/>
    </xf>
    <xf numFmtId="0" fontId="59" fillId="9" borderId="0" xfId="0" applyFont="1" applyFill="1" applyAlignment="1">
      <alignment horizontal="center" vertical="center" wrapText="1"/>
    </xf>
    <xf numFmtId="165" fontId="6" fillId="0" borderId="140" xfId="9" quotePrefix="1" applyFont="1" applyBorder="1" applyAlignment="1" applyProtection="1">
      <alignment horizontal="center"/>
    </xf>
    <xf numFmtId="165" fontId="6" fillId="11" borderId="19" xfId="8" applyFont="1" applyFill="1" applyBorder="1" applyAlignment="1" applyProtection="1">
      <alignment horizontal="center"/>
    </xf>
    <xf numFmtId="165" fontId="6" fillId="11" borderId="20" xfId="8" applyFont="1" applyFill="1" applyBorder="1" applyAlignment="1" applyProtection="1">
      <alignment horizontal="center"/>
    </xf>
    <xf numFmtId="14" fontId="60" fillId="11" borderId="127" xfId="9" applyNumberFormat="1" applyFont="1" applyFill="1" applyBorder="1" applyAlignment="1" applyProtection="1">
      <alignment horizontal="center"/>
    </xf>
    <xf numFmtId="168" fontId="35" fillId="11" borderId="63" xfId="9" applyNumberFormat="1" applyFont="1" applyFill="1" applyBorder="1" applyAlignment="1" applyProtection="1">
      <alignment horizontal="center"/>
      <protection locked="0"/>
    </xf>
    <xf numFmtId="175" fontId="5" fillId="11" borderId="16" xfId="9" applyNumberFormat="1" applyFont="1" applyFill="1" applyBorder="1" applyAlignment="1" applyProtection="1">
      <alignment horizontal="center"/>
      <protection locked="0"/>
    </xf>
    <xf numFmtId="175" fontId="5" fillId="11" borderId="16" xfId="9" applyNumberFormat="1" applyFont="1" applyFill="1" applyBorder="1" applyAlignment="1" applyProtection="1">
      <alignment horizontal="center"/>
    </xf>
    <xf numFmtId="165" fontId="6" fillId="0" borderId="144" xfId="9" applyFont="1" applyBorder="1" applyAlignment="1">
      <alignment horizontal="center"/>
    </xf>
    <xf numFmtId="165" fontId="6" fillId="0" borderId="119" xfId="9" applyFont="1" applyFill="1" applyBorder="1" applyAlignment="1" applyProtection="1">
      <alignment horizontal="center"/>
    </xf>
    <xf numFmtId="14" fontId="5" fillId="12" borderId="63" xfId="9" applyNumberFormat="1" applyFont="1" applyFill="1" applyBorder="1" applyAlignment="1" applyProtection="1">
      <alignment horizontal="center"/>
      <protection locked="0"/>
    </xf>
    <xf numFmtId="165" fontId="5" fillId="12" borderId="165" xfId="8" applyFont="1" applyFill="1" applyBorder="1" applyProtection="1"/>
    <xf numFmtId="165" fontId="6" fillId="11" borderId="6" xfId="8" applyFont="1" applyFill="1" applyBorder="1" applyProtection="1"/>
    <xf numFmtId="165" fontId="6" fillId="11" borderId="8" xfId="8" applyFont="1" applyFill="1" applyBorder="1" applyProtection="1"/>
    <xf numFmtId="165" fontId="6" fillId="11" borderId="16" xfId="8" applyFont="1" applyFill="1" applyBorder="1" applyAlignment="1" applyProtection="1">
      <alignment horizontal="center"/>
    </xf>
    <xf numFmtId="2" fontId="5" fillId="11" borderId="34" xfId="8" applyNumberFormat="1" applyFont="1" applyFill="1" applyBorder="1" applyAlignment="1" applyProtection="1">
      <alignment horizontal="center"/>
      <protection locked="0"/>
    </xf>
    <xf numFmtId="165" fontId="6" fillId="28" borderId="88" xfId="8" applyFont="1" applyFill="1" applyBorder="1" applyProtection="1"/>
    <xf numFmtId="165" fontId="6" fillId="28" borderId="94" xfId="8" applyFont="1" applyFill="1" applyBorder="1" applyProtection="1"/>
    <xf numFmtId="165" fontId="6" fillId="28" borderId="119" xfId="8" applyFont="1" applyFill="1" applyBorder="1" applyAlignment="1" applyProtection="1">
      <alignment horizontal="center"/>
    </xf>
    <xf numFmtId="2" fontId="5" fillId="28" borderId="62" xfId="8" applyNumberFormat="1" applyFont="1" applyFill="1" applyBorder="1" applyAlignment="1" applyProtection="1">
      <alignment horizontal="center"/>
      <protection locked="0"/>
    </xf>
    <xf numFmtId="43" fontId="5" fillId="12" borderId="138" xfId="9" applyNumberFormat="1" applyFont="1" applyFill="1" applyBorder="1" applyAlignment="1" applyProtection="1">
      <alignment horizontal="center"/>
      <protection locked="0"/>
    </xf>
    <xf numFmtId="3" fontId="17" fillId="2" borderId="138" xfId="9" applyNumberFormat="1" applyFont="1" applyFill="1" applyBorder="1" applyProtection="1"/>
    <xf numFmtId="2" fontId="5" fillId="2" borderId="138" xfId="9" applyNumberFormat="1" applyFont="1" applyFill="1" applyBorder="1" applyAlignment="1" applyProtection="1">
      <alignment horizontal="center"/>
    </xf>
    <xf numFmtId="43" fontId="17" fillId="2" borderId="138" xfId="9" applyNumberFormat="1" applyFont="1" applyFill="1" applyBorder="1" applyProtection="1"/>
    <xf numFmtId="43" fontId="5" fillId="2" borderId="138" xfId="9" applyNumberFormat="1" applyFont="1" applyFill="1" applyBorder="1" applyAlignment="1" applyProtection="1">
      <alignment horizontal="center"/>
    </xf>
    <xf numFmtId="3" fontId="5" fillId="12" borderId="166" xfId="8" applyNumberFormat="1" applyFont="1" applyFill="1" applyBorder="1" applyAlignment="1" applyProtection="1">
      <protection locked="0"/>
    </xf>
    <xf numFmtId="2" fontId="5" fillId="12" borderId="118" xfId="8" applyNumberFormat="1" applyFont="1" applyFill="1" applyBorder="1" applyAlignment="1" applyProtection="1">
      <alignment horizontal="center"/>
      <protection locked="0"/>
    </xf>
    <xf numFmtId="0" fontId="5" fillId="11" borderId="9" xfId="1" applyNumberFormat="1" applyFont="1" applyFill="1" applyBorder="1" applyAlignment="1" applyProtection="1">
      <alignment horizontal="left"/>
    </xf>
    <xf numFmtId="0" fontId="0" fillId="9" borderId="0" xfId="0" applyFill="1"/>
    <xf numFmtId="0" fontId="0" fillId="9" borderId="0" xfId="0" applyFill="1" applyAlignment="1">
      <alignment horizontal="left"/>
    </xf>
    <xf numFmtId="0" fontId="38" fillId="9" borderId="0" xfId="0" applyFont="1" applyFill="1"/>
    <xf numFmtId="2" fontId="0" fillId="0" borderId="0" xfId="0" applyNumberFormat="1" applyFill="1"/>
    <xf numFmtId="0" fontId="0" fillId="18" borderId="0" xfId="0" applyFill="1" applyAlignment="1">
      <alignment horizontal="left"/>
    </xf>
    <xf numFmtId="2" fontId="0" fillId="0" borderId="0" xfId="0" applyNumberFormat="1" applyFill="1" applyAlignment="1">
      <alignment horizontal="left"/>
    </xf>
    <xf numFmtId="41" fontId="0" fillId="0" borderId="0" xfId="0" applyNumberFormat="1" applyFill="1"/>
    <xf numFmtId="164" fontId="0" fillId="0" borderId="0" xfId="1" applyNumberFormat="1" applyFont="1" applyFill="1" applyAlignment="1">
      <alignment horizontal="left"/>
    </xf>
    <xf numFmtId="2" fontId="0" fillId="9" borderId="0" xfId="0" quotePrefix="1" applyNumberFormat="1" applyFill="1"/>
    <xf numFmtId="41" fontId="0" fillId="9" borderId="0" xfId="0" quotePrefix="1" applyNumberFormat="1" applyFill="1"/>
    <xf numFmtId="0" fontId="3" fillId="18" borderId="0" xfId="0" applyFont="1" applyFill="1"/>
    <xf numFmtId="2" fontId="4" fillId="9" borderId="0" xfId="0" quotePrefix="1" applyNumberFormat="1" applyFont="1" applyFill="1"/>
    <xf numFmtId="14" fontId="5" fillId="11" borderId="16" xfId="9" applyNumberFormat="1" applyFont="1" applyFill="1" applyBorder="1" applyAlignment="1" applyProtection="1">
      <alignment horizontal="center"/>
    </xf>
    <xf numFmtId="164" fontId="5" fillId="26" borderId="8" xfId="1" applyNumberFormat="1" applyFont="1" applyFill="1" applyBorder="1" applyAlignment="1" applyProtection="1">
      <alignment horizontal="center"/>
    </xf>
    <xf numFmtId="164" fontId="5" fillId="26" borderId="16" xfId="1" applyNumberFormat="1" applyFont="1" applyFill="1" applyBorder="1" applyAlignment="1" applyProtection="1">
      <alignment horizontal="center"/>
    </xf>
    <xf numFmtId="164" fontId="5" fillId="26" borderId="22" xfId="1" applyNumberFormat="1" applyFont="1" applyFill="1" applyBorder="1" applyAlignment="1" applyProtection="1">
      <alignment horizontal="center"/>
    </xf>
    <xf numFmtId="41" fontId="5" fillId="12" borderId="9" xfId="1" quotePrefix="1" applyNumberFormat="1" applyFont="1" applyFill="1" applyBorder="1" applyProtection="1">
      <protection locked="0"/>
    </xf>
    <xf numFmtId="44" fontId="0" fillId="0" borderId="0" xfId="0" applyNumberFormat="1"/>
    <xf numFmtId="0" fontId="0" fillId="10" borderId="0" xfId="0" applyFill="1"/>
    <xf numFmtId="0" fontId="3" fillId="10" borderId="0" xfId="0" applyFont="1" applyFill="1" applyAlignment="1">
      <alignment vertical="center" wrapText="1"/>
    </xf>
    <xf numFmtId="44" fontId="3" fillId="9" borderId="0" xfId="24" applyFont="1" applyFill="1" applyAlignment="1">
      <alignment vertical="center" wrapText="1"/>
    </xf>
    <xf numFmtId="44" fontId="3" fillId="0" borderId="0" xfId="24" applyFont="1" applyAlignment="1">
      <alignment vertical="center" wrapText="1"/>
    </xf>
    <xf numFmtId="165" fontId="10" fillId="27" borderId="134" xfId="8" applyFont="1" applyFill="1" applyBorder="1" applyAlignment="1" applyProtection="1">
      <alignment horizontal="center"/>
    </xf>
    <xf numFmtId="165" fontId="10" fillId="27" borderId="140" xfId="8" applyFont="1" applyFill="1" applyBorder="1" applyAlignment="1" applyProtection="1">
      <alignment horizontal="center"/>
    </xf>
    <xf numFmtId="0" fontId="27" fillId="0" borderId="0" xfId="0" applyFont="1" applyFill="1" applyAlignment="1" applyProtection="1">
      <alignment horizontal="right"/>
      <protection locked="0"/>
    </xf>
    <xf numFmtId="0" fontId="27" fillId="0" borderId="0" xfId="0" applyFont="1" applyAlignment="1" applyProtection="1">
      <alignment horizontal="right"/>
      <protection locked="0"/>
    </xf>
    <xf numFmtId="0" fontId="5" fillId="0" borderId="0" xfId="0" applyFont="1" applyAlignment="1" applyProtection="1">
      <alignment horizontal="right"/>
      <protection locked="0"/>
    </xf>
    <xf numFmtId="41" fontId="27" fillId="0" borderId="0" xfId="0" applyNumberFormat="1" applyFont="1" applyBorder="1" applyAlignment="1" applyProtection="1">
      <alignment horizontal="right"/>
      <protection locked="0"/>
    </xf>
    <xf numFmtId="165" fontId="4" fillId="0" borderId="0" xfId="8" applyFont="1" applyAlignment="1" applyProtection="1"/>
    <xf numFmtId="165" fontId="5" fillId="0" borderId="0" xfId="8" applyFont="1" applyAlignment="1" applyProtection="1"/>
    <xf numFmtId="41" fontId="5" fillId="0" borderId="0" xfId="8" applyNumberFormat="1" applyFont="1" applyAlignment="1" applyProtection="1"/>
    <xf numFmtId="41" fontId="5" fillId="0" borderId="0" xfId="8" applyNumberFormat="1" applyFont="1" applyAlignment="1" applyProtection="1">
      <protection locked="0"/>
    </xf>
    <xf numFmtId="41" fontId="5" fillId="0" borderId="0" xfId="8" applyNumberFormat="1" applyFont="1" applyAlignment="1"/>
    <xf numFmtId="165" fontId="5" fillId="0" borderId="0" xfId="8" applyFont="1" applyAlignment="1"/>
    <xf numFmtId="0" fontId="0" fillId="0" borderId="0" xfId="0" applyBorder="1" applyAlignment="1" applyProtection="1">
      <alignment horizontal="right"/>
      <protection locked="0"/>
    </xf>
    <xf numFmtId="0" fontId="0" fillId="0" borderId="0" xfId="0" applyFill="1" applyBorder="1" applyAlignment="1" applyProtection="1">
      <alignment horizontal="right"/>
      <protection locked="0"/>
    </xf>
    <xf numFmtId="164" fontId="5" fillId="0" borderId="0" xfId="1" applyNumberFormat="1" applyFont="1" applyAlignment="1" applyProtection="1">
      <alignment horizontal="right"/>
      <protection locked="0"/>
    </xf>
    <xf numFmtId="0" fontId="4" fillId="0" borderId="0" xfId="0" applyFont="1" applyBorder="1" applyAlignment="1" applyProtection="1">
      <alignment horizontal="right"/>
      <protection locked="0"/>
    </xf>
    <xf numFmtId="0" fontId="0" fillId="0" borderId="0" xfId="0" applyFont="1"/>
    <xf numFmtId="164" fontId="5" fillId="0" borderId="0" xfId="1" applyNumberFormat="1" applyFont="1" applyBorder="1" applyAlignment="1" applyProtection="1">
      <protection locked="0"/>
    </xf>
    <xf numFmtId="41" fontId="5" fillId="11" borderId="9" xfId="1" applyNumberFormat="1" applyFont="1" applyFill="1" applyBorder="1" applyProtection="1"/>
    <xf numFmtId="41" fontId="3" fillId="15" borderId="54" xfId="0" applyNumberFormat="1" applyFont="1" applyFill="1" applyBorder="1" applyAlignment="1" applyProtection="1">
      <alignment horizontal="left" vertical="top"/>
      <protection locked="0"/>
    </xf>
    <xf numFmtId="41" fontId="3" fillId="15" borderId="8" xfId="0" applyNumberFormat="1" applyFont="1" applyFill="1" applyBorder="1" applyAlignment="1" applyProtection="1">
      <alignment horizontal="left" vertical="top"/>
      <protection locked="0"/>
    </xf>
    <xf numFmtId="41" fontId="3" fillId="15" borderId="16" xfId="0" applyNumberFormat="1" applyFont="1" applyFill="1" applyBorder="1" applyAlignment="1" applyProtection="1">
      <alignment horizontal="left" vertical="top"/>
      <protection locked="0"/>
    </xf>
    <xf numFmtId="41" fontId="4" fillId="22" borderId="64" xfId="0" applyNumberFormat="1" applyFont="1" applyFill="1" applyBorder="1" applyAlignment="1" applyProtection="1">
      <alignment horizontal="left" vertical="top"/>
      <protection locked="0"/>
    </xf>
    <xf numFmtId="41" fontId="4" fillId="22" borderId="20" xfId="0" applyNumberFormat="1" applyFont="1" applyFill="1" applyBorder="1" applyAlignment="1" applyProtection="1">
      <alignment horizontal="left" vertical="top"/>
      <protection locked="0"/>
    </xf>
    <xf numFmtId="41" fontId="4" fillId="22" borderId="21" xfId="0" applyNumberFormat="1" applyFont="1" applyFill="1" applyBorder="1" applyAlignment="1" applyProtection="1">
      <alignment horizontal="left" vertical="top"/>
      <protection locked="0"/>
    </xf>
    <xf numFmtId="41" fontId="3" fillId="25" borderId="54" xfId="0" applyNumberFormat="1" applyFont="1" applyFill="1" applyBorder="1" applyAlignment="1" applyProtection="1">
      <alignment horizontal="left" vertical="top"/>
      <protection locked="0"/>
    </xf>
    <xf numFmtId="41" fontId="3" fillId="25" borderId="16" xfId="0" applyNumberFormat="1" applyFont="1" applyFill="1" applyBorder="1" applyAlignment="1" applyProtection="1">
      <alignment horizontal="left" vertical="top"/>
      <protection locked="0"/>
    </xf>
    <xf numFmtId="41" fontId="4" fillId="24" borderId="64" xfId="0" applyNumberFormat="1" applyFont="1" applyFill="1" applyBorder="1" applyAlignment="1" applyProtection="1">
      <alignment horizontal="left" vertical="top"/>
      <protection locked="0"/>
    </xf>
    <xf numFmtId="41" fontId="4" fillId="24" borderId="21" xfId="0" applyNumberFormat="1" applyFont="1" applyFill="1" applyBorder="1" applyAlignment="1" applyProtection="1">
      <alignment horizontal="left" vertical="top"/>
      <protection locked="0"/>
    </xf>
    <xf numFmtId="41" fontId="3" fillId="23" borderId="54" xfId="0" applyNumberFormat="1" applyFont="1" applyFill="1" applyBorder="1" applyAlignment="1" applyProtection="1">
      <alignment horizontal="left" vertical="top"/>
      <protection locked="0"/>
    </xf>
    <xf numFmtId="41" fontId="3" fillId="23" borderId="8" xfId="0" applyNumberFormat="1" applyFont="1" applyFill="1" applyBorder="1" applyAlignment="1" applyProtection="1">
      <alignment horizontal="left" vertical="top"/>
      <protection locked="0"/>
    </xf>
    <xf numFmtId="41" fontId="3" fillId="23" borderId="16" xfId="0" applyNumberFormat="1" applyFont="1" applyFill="1" applyBorder="1" applyAlignment="1" applyProtection="1">
      <alignment horizontal="left" vertical="top"/>
      <protection locked="0"/>
    </xf>
    <xf numFmtId="41" fontId="4" fillId="21" borderId="64" xfId="0" applyNumberFormat="1" applyFont="1" applyFill="1" applyBorder="1" applyAlignment="1" applyProtection="1">
      <alignment horizontal="left" vertical="top"/>
      <protection locked="0"/>
    </xf>
    <xf numFmtId="41" fontId="4" fillId="21" borderId="20" xfId="0" applyNumberFormat="1" applyFont="1" applyFill="1" applyBorder="1" applyAlignment="1" applyProtection="1">
      <alignment horizontal="left" vertical="top"/>
      <protection locked="0"/>
    </xf>
    <xf numFmtId="41" fontId="4" fillId="21" borderId="21" xfId="0" applyNumberFormat="1" applyFont="1" applyFill="1" applyBorder="1" applyAlignment="1" applyProtection="1">
      <alignment horizontal="left" vertical="top"/>
      <protection locked="0"/>
    </xf>
    <xf numFmtId="41" fontId="3" fillId="23" borderId="144" xfId="0" applyNumberFormat="1" applyFont="1" applyFill="1" applyBorder="1" applyAlignment="1" applyProtection="1">
      <alignment horizontal="left" vertical="top"/>
      <protection locked="0"/>
    </xf>
    <xf numFmtId="41" fontId="3" fillId="23" borderId="94" xfId="0" applyNumberFormat="1" applyFont="1" applyFill="1" applyBorder="1" applyAlignment="1" applyProtection="1">
      <alignment horizontal="left" vertical="top"/>
      <protection locked="0"/>
    </xf>
    <xf numFmtId="41" fontId="3" fillId="23" borderId="119" xfId="0" applyNumberFormat="1" applyFont="1" applyFill="1" applyBorder="1" applyAlignment="1" applyProtection="1">
      <alignment horizontal="left" vertical="top"/>
      <protection locked="0"/>
    </xf>
    <xf numFmtId="41" fontId="4" fillId="21" borderId="144" xfId="0" applyNumberFormat="1" applyFont="1" applyFill="1" applyBorder="1" applyAlignment="1" applyProtection="1">
      <alignment horizontal="left" vertical="top"/>
      <protection locked="0"/>
    </xf>
    <xf numFmtId="41" fontId="4" fillId="21" borderId="94" xfId="0" applyNumberFormat="1" applyFont="1" applyFill="1" applyBorder="1" applyAlignment="1" applyProtection="1">
      <alignment horizontal="left" vertical="top"/>
      <protection locked="0"/>
    </xf>
    <xf numFmtId="41" fontId="4" fillId="21" borderId="119" xfId="0" applyNumberFormat="1" applyFont="1" applyFill="1" applyBorder="1" applyAlignment="1" applyProtection="1">
      <alignment horizontal="left" vertical="top"/>
      <protection locked="0"/>
    </xf>
    <xf numFmtId="0" fontId="18" fillId="0" borderId="100" xfId="0" applyFont="1" applyBorder="1" applyAlignment="1" applyProtection="1">
      <alignment horizontal="center"/>
      <protection locked="0"/>
    </xf>
    <xf numFmtId="0" fontId="18" fillId="0" borderId="101" xfId="0" applyFont="1" applyBorder="1" applyAlignment="1" applyProtection="1">
      <alignment horizontal="center"/>
      <protection locked="0"/>
    </xf>
    <xf numFmtId="41" fontId="3" fillId="25" borderId="8" xfId="0" applyNumberFormat="1" applyFont="1" applyFill="1" applyBorder="1" applyAlignment="1" applyProtection="1">
      <alignment horizontal="left" vertical="top"/>
      <protection locked="0"/>
    </xf>
    <xf numFmtId="41" fontId="4" fillId="22" borderId="68" xfId="0" applyNumberFormat="1" applyFont="1" applyFill="1" applyBorder="1" applyAlignment="1" applyProtection="1">
      <alignment horizontal="left" vertical="top"/>
      <protection locked="0"/>
    </xf>
    <xf numFmtId="41" fontId="4" fillId="24" borderId="20" xfId="0" applyNumberFormat="1" applyFont="1" applyFill="1" applyBorder="1" applyAlignment="1" applyProtection="1">
      <alignment horizontal="left" vertical="top"/>
      <protection locked="0"/>
    </xf>
    <xf numFmtId="41" fontId="4" fillId="24" borderId="78" xfId="0" applyNumberFormat="1" applyFont="1" applyFill="1" applyBorder="1" applyAlignment="1" applyProtection="1">
      <alignment horizontal="left" vertical="top"/>
      <protection locked="0"/>
    </xf>
    <xf numFmtId="0" fontId="3" fillId="16" borderId="70" xfId="0" applyFont="1" applyFill="1" applyBorder="1" applyAlignment="1">
      <alignment horizontal="left" indent="1"/>
    </xf>
    <xf numFmtId="0" fontId="3" fillId="16" borderId="71" xfId="0" applyFont="1" applyFill="1" applyBorder="1" applyAlignment="1">
      <alignment horizontal="left" indent="1"/>
    </xf>
    <xf numFmtId="0" fontId="3" fillId="16" borderId="72" xfId="0" applyFont="1" applyFill="1" applyBorder="1" applyAlignment="1">
      <alignment horizontal="left" indent="1"/>
    </xf>
    <xf numFmtId="0" fontId="3" fillId="0" borderId="67" xfId="0" applyFont="1" applyBorder="1" applyAlignment="1">
      <alignment horizontal="center"/>
    </xf>
    <xf numFmtId="164" fontId="5" fillId="12" borderId="139" xfId="1" applyNumberFormat="1" applyFont="1" applyFill="1" applyBorder="1" applyAlignment="1" applyProtection="1">
      <alignment horizontal="center"/>
      <protection locked="0"/>
    </xf>
    <xf numFmtId="164" fontId="5" fillId="12" borderId="140" xfId="1" applyNumberFormat="1" applyFont="1" applyFill="1" applyBorder="1" applyAlignment="1" applyProtection="1">
      <alignment horizontal="center"/>
      <protection locked="0"/>
    </xf>
    <xf numFmtId="164" fontId="5" fillId="12" borderId="141" xfId="1" applyNumberFormat="1" applyFont="1" applyFill="1" applyBorder="1" applyAlignment="1" applyProtection="1">
      <alignment horizontal="center"/>
      <protection locked="0"/>
    </xf>
    <xf numFmtId="164" fontId="5" fillId="11" borderId="139" xfId="1" applyNumberFormat="1" applyFont="1" applyFill="1" applyBorder="1" applyAlignment="1" applyProtection="1">
      <alignment horizontal="center"/>
      <protection locked="0"/>
    </xf>
    <xf numFmtId="164" fontId="5" fillId="11" borderId="140" xfId="1" applyNumberFormat="1" applyFont="1" applyFill="1" applyBorder="1" applyAlignment="1" applyProtection="1">
      <alignment horizontal="center"/>
      <protection locked="0"/>
    </xf>
    <xf numFmtId="164" fontId="5" fillId="11" borderId="141" xfId="1" applyNumberFormat="1" applyFont="1" applyFill="1" applyBorder="1" applyAlignment="1" applyProtection="1">
      <alignment horizontal="center"/>
      <protection locked="0"/>
    </xf>
    <xf numFmtId="164" fontId="5" fillId="2" borderId="139" xfId="1" applyNumberFormat="1" applyFont="1" applyFill="1" applyBorder="1" applyAlignment="1" applyProtection="1">
      <alignment horizontal="left"/>
    </xf>
    <xf numFmtId="164" fontId="5" fillId="2" borderId="141" xfId="1" applyNumberFormat="1" applyFont="1" applyFill="1" applyBorder="1" applyAlignment="1" applyProtection="1">
      <alignment horizontal="left"/>
    </xf>
    <xf numFmtId="164" fontId="6" fillId="8" borderId="38" xfId="1" applyNumberFormat="1" applyFont="1" applyFill="1" applyBorder="1" applyAlignment="1" applyProtection="1">
      <alignment horizontal="center"/>
    </xf>
    <xf numFmtId="164" fontId="5" fillId="8" borderId="0" xfId="1" applyNumberFormat="1" applyFont="1" applyFill="1" applyBorder="1" applyAlignment="1">
      <alignment horizontal="left" indent="2"/>
    </xf>
    <xf numFmtId="164" fontId="5" fillId="8" borderId="7" xfId="1" applyNumberFormat="1" applyFont="1" applyFill="1" applyBorder="1" applyAlignment="1">
      <alignment horizontal="left" indent="2"/>
    </xf>
    <xf numFmtId="164" fontId="33" fillId="6" borderId="19" xfId="1" applyNumberFormat="1" applyFont="1" applyFill="1" applyBorder="1" applyAlignment="1" applyProtection="1">
      <alignment horizontal="left" vertical="center"/>
    </xf>
    <xf numFmtId="164" fontId="33" fillId="6" borderId="30" xfId="1" applyNumberFormat="1" applyFont="1" applyFill="1" applyBorder="1" applyAlignment="1" applyProtection="1">
      <alignment horizontal="left" vertical="center"/>
    </xf>
    <xf numFmtId="164" fontId="33" fillId="6" borderId="18" xfId="1" applyNumberFormat="1" applyFont="1" applyFill="1" applyBorder="1" applyAlignment="1" applyProtection="1">
      <alignment horizontal="left" vertical="center"/>
    </xf>
    <xf numFmtId="164" fontId="33" fillId="6" borderId="20" xfId="1" applyNumberFormat="1" applyFont="1" applyFill="1" applyBorder="1" applyAlignment="1" applyProtection="1">
      <alignment horizontal="left" vertical="center"/>
    </xf>
    <xf numFmtId="164" fontId="33" fillId="6" borderId="0" xfId="1" applyNumberFormat="1" applyFont="1" applyFill="1" applyBorder="1" applyAlignment="1" applyProtection="1">
      <alignment horizontal="left" vertical="center"/>
    </xf>
    <xf numFmtId="164" fontId="33" fillId="6" borderId="7" xfId="1" applyNumberFormat="1" applyFont="1" applyFill="1" applyBorder="1" applyAlignment="1" applyProtection="1">
      <alignment horizontal="left" vertical="center"/>
    </xf>
    <xf numFmtId="164" fontId="33" fillId="6" borderId="21" xfId="1" applyNumberFormat="1" applyFont="1" applyFill="1" applyBorder="1" applyAlignment="1" applyProtection="1">
      <alignment horizontal="left" vertical="center"/>
    </xf>
    <xf numFmtId="164" fontId="33" fillId="6" borderId="3" xfId="1" applyNumberFormat="1" applyFont="1" applyFill="1" applyBorder="1" applyAlignment="1" applyProtection="1">
      <alignment horizontal="left" vertical="center"/>
    </xf>
    <xf numFmtId="164" fontId="33" fillId="6" borderId="22" xfId="1" applyNumberFormat="1" applyFont="1" applyFill="1" applyBorder="1" applyAlignment="1" applyProtection="1">
      <alignment horizontal="left" vertical="center"/>
    </xf>
    <xf numFmtId="164" fontId="6" fillId="8" borderId="0" xfId="1" applyNumberFormat="1" applyFont="1" applyFill="1" applyAlignment="1" applyProtection="1"/>
    <xf numFmtId="164" fontId="5" fillId="8" borderId="0" xfId="1" applyNumberFormat="1" applyFont="1" applyFill="1" applyAlignment="1" applyProtection="1"/>
    <xf numFmtId="49" fontId="5" fillId="3" borderId="64" xfId="1" applyNumberFormat="1" applyFont="1" applyFill="1" applyBorder="1" applyAlignment="1" applyProtection="1">
      <alignment horizontal="center"/>
    </xf>
    <xf numFmtId="0" fontId="5" fillId="3" borderId="65" xfId="1" applyNumberFormat="1" applyFont="1" applyFill="1" applyBorder="1" applyAlignment="1" applyProtection="1">
      <alignment horizontal="center"/>
    </xf>
    <xf numFmtId="0" fontId="5" fillId="3" borderId="66" xfId="1" applyNumberFormat="1" applyFont="1" applyFill="1" applyBorder="1" applyAlignment="1" applyProtection="1">
      <alignment horizontal="center"/>
    </xf>
    <xf numFmtId="164" fontId="5" fillId="3" borderId="20" xfId="1" applyNumberFormat="1" applyFont="1" applyFill="1" applyBorder="1" applyAlignment="1" applyProtection="1">
      <alignment horizontal="center"/>
    </xf>
    <xf numFmtId="164" fontId="5" fillId="3" borderId="0" xfId="1" applyNumberFormat="1" applyFont="1" applyFill="1" applyBorder="1" applyAlignment="1" applyProtection="1">
      <alignment horizontal="center"/>
    </xf>
    <xf numFmtId="164" fontId="5" fillId="3" borderId="7" xfId="1" applyNumberFormat="1" applyFont="1" applyFill="1" applyBorder="1" applyAlignment="1" applyProtection="1">
      <alignment horizontal="center"/>
    </xf>
    <xf numFmtId="0" fontId="46" fillId="0" borderId="0" xfId="1" applyNumberFormat="1" applyFont="1" applyFill="1" applyBorder="1" applyAlignment="1" applyProtection="1">
      <alignment horizontal="left" vertical="center" wrapText="1"/>
    </xf>
    <xf numFmtId="0" fontId="61" fillId="0" borderId="0" xfId="1" applyNumberFormat="1" applyFont="1" applyFill="1" applyBorder="1" applyAlignment="1" applyProtection="1">
      <alignment horizontal="left" vertical="top" wrapText="1"/>
    </xf>
    <xf numFmtId="164" fontId="6" fillId="0" borderId="4" xfId="1" applyNumberFormat="1" applyFont="1" applyBorder="1" applyAlignment="1" applyProtection="1"/>
    <xf numFmtId="164" fontId="5" fillId="8" borderId="0" xfId="1" applyNumberFormat="1" applyFont="1" applyFill="1" applyAlignment="1" applyProtection="1">
      <alignment horizontal="left"/>
    </xf>
    <xf numFmtId="164" fontId="6" fillId="8" borderId="39" xfId="1" applyNumberFormat="1" applyFont="1" applyFill="1" applyBorder="1" applyAlignment="1" applyProtection="1"/>
    <xf numFmtId="164" fontId="58" fillId="8" borderId="4" xfId="1" applyNumberFormat="1" applyFont="1" applyFill="1" applyBorder="1" applyAlignment="1">
      <alignment horizontal="center"/>
    </xf>
    <xf numFmtId="164" fontId="5" fillId="8" borderId="4" xfId="1" applyNumberFormat="1" applyFont="1" applyFill="1" applyBorder="1" applyAlignment="1">
      <alignment horizontal="center"/>
    </xf>
    <xf numFmtId="164" fontId="5" fillId="12" borderId="28" xfId="1" applyNumberFormat="1" applyFont="1" applyFill="1" applyBorder="1" applyAlignment="1" applyProtection="1">
      <alignment horizontal="left"/>
      <protection locked="0"/>
    </xf>
    <xf numFmtId="164" fontId="5" fillId="12" borderId="27" xfId="1" applyNumberFormat="1" applyFont="1" applyFill="1" applyBorder="1" applyAlignment="1" applyProtection="1">
      <alignment horizontal="left"/>
      <protection locked="0"/>
    </xf>
    <xf numFmtId="164" fontId="5" fillId="12" borderId="29" xfId="1" applyNumberFormat="1" applyFont="1" applyFill="1" applyBorder="1" applyAlignment="1" applyProtection="1">
      <alignment horizontal="left"/>
      <protection locked="0"/>
    </xf>
    <xf numFmtId="164" fontId="33" fillId="3" borderId="19" xfId="1" applyNumberFormat="1" applyFont="1" applyFill="1" applyBorder="1" applyAlignment="1" applyProtection="1">
      <alignment horizontal="left" vertical="center"/>
    </xf>
    <xf numFmtId="164" fontId="33" fillId="3" borderId="30" xfId="1" applyNumberFormat="1" applyFont="1" applyFill="1" applyBorder="1" applyAlignment="1" applyProtection="1">
      <alignment horizontal="left" vertical="center"/>
    </xf>
    <xf numFmtId="164" fontId="33" fillId="3" borderId="18" xfId="1" applyNumberFormat="1" applyFont="1" applyFill="1" applyBorder="1" applyAlignment="1" applyProtection="1">
      <alignment horizontal="left" vertical="center"/>
    </xf>
    <xf numFmtId="164" fontId="33" fillId="3" borderId="20" xfId="1" applyNumberFormat="1" applyFont="1" applyFill="1" applyBorder="1" applyAlignment="1" applyProtection="1">
      <alignment horizontal="left" vertical="center"/>
    </xf>
    <xf numFmtId="164" fontId="33" fillId="3" borderId="0" xfId="1" applyNumberFormat="1" applyFont="1" applyFill="1" applyBorder="1" applyAlignment="1" applyProtection="1">
      <alignment horizontal="left" vertical="center"/>
    </xf>
    <xf numFmtId="164" fontId="33" fillId="3" borderId="7" xfId="1" applyNumberFormat="1" applyFont="1" applyFill="1" applyBorder="1" applyAlignment="1" applyProtection="1">
      <alignment horizontal="left" vertical="center"/>
    </xf>
    <xf numFmtId="164" fontId="33" fillId="3" borderId="21" xfId="1" applyNumberFormat="1" applyFont="1" applyFill="1" applyBorder="1" applyAlignment="1" applyProtection="1">
      <alignment horizontal="left" vertical="center"/>
    </xf>
    <xf numFmtId="164" fontId="33" fillId="3" borderId="3" xfId="1" applyNumberFormat="1" applyFont="1" applyFill="1" applyBorder="1" applyAlignment="1" applyProtection="1">
      <alignment horizontal="left" vertical="center"/>
    </xf>
    <xf numFmtId="164" fontId="33" fillId="3" borderId="22" xfId="1" applyNumberFormat="1" applyFont="1" applyFill="1" applyBorder="1" applyAlignment="1" applyProtection="1">
      <alignment horizontal="left" vertical="center"/>
    </xf>
    <xf numFmtId="164" fontId="5" fillId="8" borderId="0" xfId="1" applyNumberFormat="1" applyFont="1" applyFill="1" applyAlignment="1" applyProtection="1">
      <alignment horizontal="left" indent="3"/>
    </xf>
    <xf numFmtId="164" fontId="6" fillId="8" borderId="40" xfId="1" applyNumberFormat="1" applyFont="1" applyFill="1" applyBorder="1" applyAlignment="1">
      <alignment horizontal="center"/>
    </xf>
    <xf numFmtId="164" fontId="5" fillId="8" borderId="0" xfId="1" applyNumberFormat="1" applyFont="1" applyFill="1" applyAlignment="1">
      <alignment horizontal="center"/>
    </xf>
    <xf numFmtId="164" fontId="5" fillId="8" borderId="0" xfId="1" applyNumberFormat="1" applyFont="1" applyFill="1" applyAlignment="1"/>
    <xf numFmtId="164" fontId="5" fillId="8" borderId="7" xfId="1" applyNumberFormat="1" applyFont="1" applyFill="1" applyBorder="1" applyAlignment="1"/>
    <xf numFmtId="164" fontId="5" fillId="0" borderId="0" xfId="1" applyNumberFormat="1" applyFont="1" applyAlignment="1"/>
    <xf numFmtId="164" fontId="5" fillId="0" borderId="7" xfId="1" applyNumberFormat="1" applyFont="1" applyBorder="1" applyAlignment="1"/>
    <xf numFmtId="164" fontId="5" fillId="11" borderId="28" xfId="1" applyNumberFormat="1" applyFont="1" applyFill="1" applyBorder="1" applyAlignment="1" applyProtection="1">
      <alignment horizontal="center"/>
    </xf>
    <xf numFmtId="164" fontId="5" fillId="11" borderId="27" xfId="1" applyNumberFormat="1" applyFont="1" applyFill="1" applyBorder="1" applyAlignment="1" applyProtection="1">
      <alignment horizontal="center"/>
    </xf>
    <xf numFmtId="164" fontId="5" fillId="11" borderId="29" xfId="1" applyNumberFormat="1" applyFont="1" applyFill="1" applyBorder="1" applyAlignment="1" applyProtection="1">
      <alignment horizontal="center"/>
    </xf>
    <xf numFmtId="164" fontId="5" fillId="8" borderId="0" xfId="1" applyNumberFormat="1" applyFont="1" applyFill="1" applyAlignment="1">
      <alignment horizontal="left" indent="2"/>
    </xf>
    <xf numFmtId="164" fontId="5" fillId="0" borderId="0" xfId="1" applyNumberFormat="1" applyFont="1" applyBorder="1" applyAlignment="1">
      <alignment horizontal="left" indent="2"/>
    </xf>
    <xf numFmtId="164" fontId="5" fillId="0" borderId="7" xfId="1" applyNumberFormat="1" applyFont="1" applyBorder="1" applyAlignment="1">
      <alignment horizontal="left" indent="2"/>
    </xf>
    <xf numFmtId="0" fontId="5" fillId="11" borderId="139" xfId="1" applyNumberFormat="1" applyFont="1" applyFill="1" applyBorder="1" applyAlignment="1" applyProtection="1">
      <alignment horizontal="left"/>
    </xf>
    <xf numFmtId="0" fontId="5" fillId="11" borderId="140" xfId="1" applyNumberFormat="1" applyFont="1" applyFill="1" applyBorder="1" applyAlignment="1" applyProtection="1">
      <alignment horizontal="left"/>
    </xf>
    <xf numFmtId="0" fontId="5" fillId="11" borderId="141" xfId="1" applyNumberFormat="1" applyFont="1" applyFill="1" applyBorder="1" applyAlignment="1" applyProtection="1">
      <alignment horizontal="left"/>
    </xf>
    <xf numFmtId="164" fontId="33" fillId="3" borderId="109" xfId="1" applyNumberFormat="1" applyFont="1" applyFill="1" applyBorder="1" applyAlignment="1" applyProtection="1">
      <alignment horizontal="left" vertical="center"/>
    </xf>
    <xf numFmtId="164" fontId="33" fillId="3" borderId="110" xfId="1" applyNumberFormat="1" applyFont="1" applyFill="1" applyBorder="1" applyAlignment="1" applyProtection="1">
      <alignment horizontal="left" vertical="center"/>
    </xf>
    <xf numFmtId="164" fontId="33" fillId="3" borderId="111" xfId="1" applyNumberFormat="1" applyFont="1" applyFill="1" applyBorder="1" applyAlignment="1" applyProtection="1">
      <alignment horizontal="left" vertical="center"/>
    </xf>
    <xf numFmtId="164" fontId="33" fillId="3" borderId="112" xfId="1" applyNumberFormat="1" applyFont="1" applyFill="1" applyBorder="1" applyAlignment="1" applyProtection="1">
      <alignment horizontal="left" vertical="center"/>
    </xf>
    <xf numFmtId="164" fontId="33" fillId="3" borderId="82" xfId="1" applyNumberFormat="1" applyFont="1" applyFill="1" applyBorder="1" applyAlignment="1" applyProtection="1">
      <alignment horizontal="left" vertical="center"/>
    </xf>
    <xf numFmtId="164" fontId="5" fillId="2" borderId="28" xfId="1" applyNumberFormat="1" applyFont="1" applyFill="1" applyBorder="1" applyAlignment="1" applyProtection="1">
      <alignment horizontal="left"/>
    </xf>
    <xf numFmtId="164" fontId="5" fillId="2" borderId="27" xfId="1" applyNumberFormat="1" applyFont="1" applyFill="1" applyBorder="1" applyAlignment="1" applyProtection="1">
      <alignment horizontal="left"/>
    </xf>
    <xf numFmtId="164" fontId="5" fillId="2" borderId="29" xfId="1" applyNumberFormat="1" applyFont="1" applyFill="1" applyBorder="1" applyAlignment="1" applyProtection="1">
      <alignment horizontal="left"/>
    </xf>
    <xf numFmtId="164" fontId="5" fillId="8" borderId="4" xfId="1" applyNumberFormat="1" applyFont="1" applyFill="1" applyBorder="1" applyAlignment="1" applyProtection="1">
      <alignment horizontal="left"/>
    </xf>
    <xf numFmtId="164" fontId="5" fillId="8" borderId="39" xfId="1" applyNumberFormat="1" applyFont="1" applyFill="1" applyBorder="1" applyAlignment="1" applyProtection="1">
      <alignment horizontal="center"/>
    </xf>
    <xf numFmtId="164" fontId="5" fillId="3" borderId="109" xfId="1" applyNumberFormat="1" applyFont="1" applyFill="1" applyBorder="1" applyAlignment="1" applyProtection="1">
      <alignment horizontal="center"/>
    </xf>
    <xf numFmtId="164" fontId="5" fillId="3" borderId="110" xfId="1" applyNumberFormat="1" applyFont="1" applyFill="1" applyBorder="1" applyAlignment="1" applyProtection="1">
      <alignment horizontal="center"/>
    </xf>
    <xf numFmtId="164" fontId="5" fillId="3" borderId="111" xfId="1" applyNumberFormat="1" applyFont="1" applyFill="1" applyBorder="1" applyAlignment="1" applyProtection="1">
      <alignment horizontal="center"/>
    </xf>
    <xf numFmtId="164" fontId="15" fillId="0" borderId="0" xfId="1" applyNumberFormat="1" applyFont="1" applyAlignment="1" applyProtection="1">
      <alignment horizontal="center" vertical="center"/>
    </xf>
    <xf numFmtId="164" fontId="5" fillId="8" borderId="0" xfId="1" applyNumberFormat="1" applyFont="1" applyFill="1" applyAlignment="1" applyProtection="1">
      <alignment horizontal="left" indent="1"/>
      <protection locked="0"/>
    </xf>
    <xf numFmtId="0" fontId="27" fillId="2" borderId="139" xfId="0" applyFont="1" applyFill="1" applyBorder="1" applyAlignment="1">
      <alignment horizontal="center"/>
    </xf>
    <xf numFmtId="0" fontId="27" fillId="2" borderId="141" xfId="0" applyFont="1" applyFill="1" applyBorder="1" applyAlignment="1">
      <alignment horizontal="center"/>
    </xf>
    <xf numFmtId="41" fontId="5" fillId="17" borderId="60" xfId="0" applyNumberFormat="1" applyFont="1" applyFill="1" applyBorder="1" applyAlignment="1" applyProtection="1">
      <alignment horizontal="left" indent="1"/>
      <protection locked="0"/>
    </xf>
    <xf numFmtId="41" fontId="5" fillId="17" borderId="61" xfId="0" applyNumberFormat="1" applyFont="1" applyFill="1" applyBorder="1" applyAlignment="1" applyProtection="1">
      <alignment horizontal="left" indent="1"/>
      <protection locked="0"/>
    </xf>
    <xf numFmtId="41" fontId="6" fillId="19" borderId="60" xfId="0" applyNumberFormat="1" applyFont="1" applyFill="1" applyBorder="1" applyAlignment="1" applyProtection="1">
      <alignment horizontal="left"/>
    </xf>
    <xf numFmtId="41" fontId="6" fillId="19" borderId="61" xfId="0" applyNumberFormat="1" applyFont="1" applyFill="1" applyBorder="1" applyAlignment="1" applyProtection="1">
      <alignment horizontal="left"/>
    </xf>
    <xf numFmtId="0" fontId="24" fillId="0" borderId="0" xfId="0" applyFont="1" applyAlignment="1">
      <alignment horizontal="left"/>
    </xf>
    <xf numFmtId="0" fontId="30" fillId="0" borderId="0" xfId="0" applyFont="1" applyAlignment="1">
      <alignment horizontal="left"/>
    </xf>
    <xf numFmtId="0" fontId="5" fillId="2" borderId="60" xfId="0" applyFont="1" applyFill="1" applyBorder="1" applyAlignment="1">
      <alignment horizontal="left" indent="1"/>
    </xf>
    <xf numFmtId="0" fontId="27" fillId="2" borderId="61" xfId="0" applyFont="1" applyFill="1" applyBorder="1" applyAlignment="1">
      <alignment horizontal="left" indent="1"/>
    </xf>
    <xf numFmtId="0" fontId="27" fillId="2" borderId="68" xfId="0" applyFont="1" applyFill="1" applyBorder="1" applyAlignment="1">
      <alignment horizontal="left" vertical="center" indent="1"/>
    </xf>
    <xf numFmtId="0" fontId="27" fillId="2" borderId="59" xfId="0" applyFont="1" applyFill="1" applyBorder="1" applyAlignment="1">
      <alignment horizontal="left" vertical="center" indent="1"/>
    </xf>
    <xf numFmtId="0" fontId="27" fillId="2" borderId="69" xfId="0" applyFont="1" applyFill="1" applyBorder="1" applyAlignment="1">
      <alignment horizontal="left" vertical="center" indent="1"/>
    </xf>
    <xf numFmtId="0" fontId="5" fillId="11" borderId="102" xfId="0" applyFont="1" applyFill="1" applyBorder="1" applyAlignment="1">
      <alignment horizontal="left" indent="1"/>
    </xf>
    <xf numFmtId="0" fontId="5" fillId="11" borderId="61" xfId="0" applyFont="1" applyFill="1" applyBorder="1" applyAlignment="1">
      <alignment horizontal="left" indent="1"/>
    </xf>
    <xf numFmtId="0" fontId="0" fillId="11" borderId="139" xfId="0" applyFill="1" applyBorder="1" applyAlignment="1">
      <alignment horizontal="center"/>
    </xf>
    <xf numFmtId="0" fontId="0" fillId="11" borderId="141" xfId="0" applyFill="1" applyBorder="1" applyAlignment="1">
      <alignment horizontal="center"/>
    </xf>
    <xf numFmtId="165" fontId="5" fillId="0" borderId="0" xfId="8" applyFont="1" applyBorder="1" applyAlignment="1" applyProtection="1">
      <alignment horizontal="center" wrapText="1"/>
    </xf>
    <xf numFmtId="165" fontId="5" fillId="0" borderId="82" xfId="8" applyFont="1" applyBorder="1" applyAlignment="1" applyProtection="1">
      <alignment horizontal="center" wrapText="1"/>
    </xf>
    <xf numFmtId="41" fontId="4" fillId="12" borderId="73" xfId="8" applyNumberFormat="1" applyFont="1" applyFill="1" applyBorder="1" applyAlignment="1" applyProtection="1">
      <alignment horizontal="left" wrapText="1" indent="1"/>
    </xf>
    <xf numFmtId="41" fontId="3" fillId="11" borderId="73" xfId="8" applyNumberFormat="1" applyFont="1" applyFill="1" applyBorder="1" applyAlignment="1" applyProtection="1">
      <alignment horizontal="left" indent="1"/>
    </xf>
    <xf numFmtId="165" fontId="6" fillId="3" borderId="60" xfId="8" applyFont="1" applyFill="1" applyBorder="1" applyAlignment="1" applyProtection="1">
      <alignment horizontal="center"/>
    </xf>
    <xf numFmtId="165" fontId="6" fillId="3" borderId="59" xfId="8" applyFont="1" applyFill="1" applyBorder="1" applyAlignment="1" applyProtection="1">
      <alignment horizontal="center"/>
    </xf>
    <xf numFmtId="165" fontId="6" fillId="3" borderId="165" xfId="8" applyFont="1" applyFill="1" applyBorder="1" applyAlignment="1" applyProtection="1">
      <alignment horizontal="center"/>
    </xf>
    <xf numFmtId="165" fontId="6" fillId="3" borderId="61" xfId="8" applyFont="1" applyFill="1" applyBorder="1" applyAlignment="1" applyProtection="1">
      <alignment horizontal="center"/>
    </xf>
    <xf numFmtId="165" fontId="5" fillId="12" borderId="120" xfId="8" applyFont="1" applyFill="1" applyBorder="1" applyAlignment="1" applyProtection="1">
      <alignment horizontal="left" vertical="top" wrapText="1"/>
      <protection locked="0"/>
    </xf>
    <xf numFmtId="165" fontId="5" fillId="12" borderId="121" xfId="8" applyFont="1" applyFill="1" applyBorder="1" applyAlignment="1" applyProtection="1">
      <alignment horizontal="left" vertical="top" wrapText="1"/>
      <protection locked="0"/>
    </xf>
    <xf numFmtId="165" fontId="5" fillId="12" borderId="122" xfId="8" applyFont="1" applyFill="1" applyBorder="1" applyAlignment="1" applyProtection="1">
      <alignment horizontal="left" vertical="top" wrapText="1"/>
      <protection locked="0"/>
    </xf>
    <xf numFmtId="165" fontId="6" fillId="13" borderId="28" xfId="8" applyFont="1" applyFill="1" applyBorder="1" applyAlignment="1" applyProtection="1">
      <alignment horizontal="center"/>
    </xf>
    <xf numFmtId="165" fontId="6" fillId="13" borderId="27" xfId="8" applyFont="1" applyFill="1" applyBorder="1" applyAlignment="1" applyProtection="1">
      <alignment horizontal="center"/>
    </xf>
    <xf numFmtId="165" fontId="6" fillId="13" borderId="59" xfId="8" applyFont="1" applyFill="1" applyBorder="1" applyAlignment="1" applyProtection="1">
      <alignment horizontal="center"/>
    </xf>
    <xf numFmtId="0" fontId="6" fillId="3" borderId="28" xfId="0" applyFont="1" applyFill="1" applyBorder="1" applyAlignment="1" applyProtection="1">
      <alignment horizontal="center"/>
    </xf>
    <xf numFmtId="0" fontId="6" fillId="3" borderId="140" xfId="0" applyFont="1" applyFill="1" applyBorder="1" applyAlignment="1" applyProtection="1">
      <alignment horizontal="center"/>
    </xf>
    <xf numFmtId="0" fontId="6" fillId="3" borderId="27" xfId="0" applyFont="1" applyFill="1" applyBorder="1" applyAlignment="1" applyProtection="1">
      <alignment horizontal="center"/>
    </xf>
    <xf numFmtId="0" fontId="6" fillId="3" borderId="55" xfId="0" applyFont="1" applyFill="1" applyBorder="1" applyAlignment="1" applyProtection="1">
      <alignment horizontal="center"/>
    </xf>
    <xf numFmtId="0" fontId="6" fillId="3" borderId="29" xfId="0" applyFont="1" applyFill="1" applyBorder="1" applyAlignment="1" applyProtection="1">
      <alignment horizontal="center"/>
    </xf>
    <xf numFmtId="165" fontId="6" fillId="3" borderId="84" xfId="8" applyFont="1" applyFill="1" applyBorder="1" applyAlignment="1" applyProtection="1">
      <alignment horizontal="center"/>
    </xf>
    <xf numFmtId="165" fontId="6" fillId="0" borderId="76" xfId="8" applyFont="1" applyBorder="1" applyAlignment="1">
      <alignment horizontal="center"/>
    </xf>
    <xf numFmtId="165" fontId="5" fillId="0" borderId="75" xfId="8" applyFont="1" applyBorder="1" applyAlignment="1" applyProtection="1">
      <alignment horizontal="center" vertical="center"/>
    </xf>
    <xf numFmtId="165" fontId="5" fillId="0" borderId="76" xfId="8" applyFont="1" applyBorder="1" applyAlignment="1" applyProtection="1">
      <alignment horizontal="center" vertical="center"/>
    </xf>
    <xf numFmtId="165" fontId="5" fillId="0" borderId="87" xfId="8" applyFont="1" applyBorder="1" applyAlignment="1" applyProtection="1">
      <alignment horizontal="center" vertical="center"/>
    </xf>
    <xf numFmtId="165" fontId="5" fillId="0" borderId="86" xfId="8" applyFont="1" applyBorder="1" applyAlignment="1" applyProtection="1">
      <alignment horizontal="center" wrapText="1"/>
    </xf>
    <xf numFmtId="165" fontId="10" fillId="27" borderId="135" xfId="8" applyFont="1" applyFill="1" applyBorder="1" applyAlignment="1" applyProtection="1">
      <alignment horizontal="center"/>
    </xf>
    <xf numFmtId="165" fontId="10" fillId="27" borderId="134" xfId="8" applyFont="1" applyFill="1" applyBorder="1" applyAlignment="1" applyProtection="1">
      <alignment horizontal="center"/>
    </xf>
    <xf numFmtId="165" fontId="10" fillId="27" borderId="165" xfId="8" applyFont="1" applyFill="1" applyBorder="1" applyAlignment="1" applyProtection="1">
      <alignment horizontal="center"/>
    </xf>
    <xf numFmtId="165" fontId="10" fillId="27" borderId="133" xfId="8" applyFont="1" applyFill="1" applyBorder="1" applyAlignment="1" applyProtection="1">
      <alignment horizontal="center"/>
    </xf>
    <xf numFmtId="41" fontId="62" fillId="31" borderId="139" xfId="9" applyNumberFormat="1" applyFont="1" applyFill="1" applyBorder="1" applyAlignment="1" applyProtection="1">
      <alignment horizontal="left" wrapText="1"/>
      <protection locked="0"/>
    </xf>
    <xf numFmtId="41" fontId="62" fillId="31" borderId="140" xfId="9" applyNumberFormat="1" applyFont="1" applyFill="1" applyBorder="1" applyAlignment="1" applyProtection="1">
      <alignment horizontal="left" wrapText="1"/>
      <protection locked="0"/>
    </xf>
    <xf numFmtId="41" fontId="62" fillId="31" borderId="141" xfId="9" applyNumberFormat="1" applyFont="1" applyFill="1" applyBorder="1" applyAlignment="1" applyProtection="1">
      <alignment horizontal="left" wrapText="1"/>
      <protection locked="0"/>
    </xf>
    <xf numFmtId="41" fontId="5" fillId="12" borderId="139" xfId="9" applyNumberFormat="1" applyFont="1" applyFill="1" applyBorder="1" applyAlignment="1" applyProtection="1">
      <alignment horizontal="left" wrapText="1"/>
      <protection locked="0"/>
    </xf>
    <xf numFmtId="41" fontId="5" fillId="12" borderId="140" xfId="9" applyNumberFormat="1" applyFont="1" applyFill="1" applyBorder="1" applyAlignment="1" applyProtection="1">
      <alignment horizontal="left" wrapText="1"/>
      <protection locked="0"/>
    </xf>
    <xf numFmtId="41" fontId="5" fillId="12" borderId="141" xfId="9" applyNumberFormat="1" applyFont="1" applyFill="1" applyBorder="1" applyAlignment="1" applyProtection="1">
      <alignment horizontal="left" wrapText="1"/>
      <protection locked="0"/>
    </xf>
    <xf numFmtId="165" fontId="5" fillId="0" borderId="0" xfId="8" applyFont="1" applyAlignment="1" applyProtection="1">
      <alignment horizontal="center"/>
    </xf>
    <xf numFmtId="165" fontId="5" fillId="0" borderId="82" xfId="8" applyFont="1" applyBorder="1" applyAlignment="1" applyProtection="1">
      <alignment horizontal="center"/>
    </xf>
    <xf numFmtId="49" fontId="4" fillId="12" borderId="108" xfId="8" applyNumberFormat="1" applyFont="1" applyFill="1" applyBorder="1" applyAlignment="1" applyProtection="1">
      <alignment horizontal="left" wrapText="1" indent="1"/>
    </xf>
    <xf numFmtId="165" fontId="10" fillId="27" borderId="28" xfId="8" applyFont="1" applyFill="1" applyBorder="1" applyAlignment="1" applyProtection="1">
      <alignment horizontal="center"/>
    </xf>
    <xf numFmtId="165" fontId="10" fillId="27" borderId="27" xfId="8" applyFont="1" applyFill="1" applyBorder="1" applyAlignment="1" applyProtection="1">
      <alignment horizontal="center"/>
    </xf>
    <xf numFmtId="165" fontId="10" fillId="27" borderId="59" xfId="8" applyFont="1" applyFill="1" applyBorder="1" applyAlignment="1" applyProtection="1">
      <alignment horizontal="center"/>
    </xf>
    <xf numFmtId="0" fontId="10" fillId="27" borderId="28" xfId="0" applyFont="1" applyFill="1" applyBorder="1" applyAlignment="1" applyProtection="1">
      <alignment horizontal="center"/>
    </xf>
    <xf numFmtId="0" fontId="10" fillId="27" borderId="165" xfId="0" applyFont="1" applyFill="1" applyBorder="1" applyAlignment="1" applyProtection="1">
      <alignment horizontal="center"/>
    </xf>
    <xf numFmtId="0" fontId="10" fillId="27" borderId="27" xfId="0" applyFont="1" applyFill="1" applyBorder="1" applyAlignment="1" applyProtection="1">
      <alignment horizontal="center"/>
    </xf>
    <xf numFmtId="0" fontId="10" fillId="27" borderId="55" xfId="0" applyFont="1" applyFill="1" applyBorder="1" applyAlignment="1" applyProtection="1">
      <alignment horizontal="center"/>
    </xf>
    <xf numFmtId="0" fontId="10" fillId="27" borderId="29" xfId="0" applyFont="1" applyFill="1" applyBorder="1" applyAlignment="1" applyProtection="1">
      <alignment horizontal="center"/>
    </xf>
    <xf numFmtId="165" fontId="10" fillId="27" borderId="60" xfId="8" applyFont="1" applyFill="1" applyBorder="1" applyAlignment="1" applyProtection="1">
      <alignment horizontal="center"/>
    </xf>
    <xf numFmtId="165" fontId="10" fillId="27" borderId="61" xfId="8" applyFont="1" applyFill="1" applyBorder="1" applyAlignment="1" applyProtection="1">
      <alignment horizontal="center"/>
    </xf>
    <xf numFmtId="41" fontId="3" fillId="27" borderId="108" xfId="8" applyNumberFormat="1" applyFont="1" applyFill="1" applyBorder="1" applyAlignment="1" applyProtection="1">
      <alignment horizontal="left" indent="1"/>
    </xf>
    <xf numFmtId="0" fontId="5" fillId="0" borderId="0" xfId="0" applyFont="1" applyAlignment="1" applyProtection="1">
      <alignment horizontal="center"/>
    </xf>
    <xf numFmtId="0" fontId="5" fillId="0" borderId="82" xfId="0" applyFont="1" applyBorder="1" applyAlignment="1" applyProtection="1">
      <alignment horizontal="center"/>
    </xf>
    <xf numFmtId="41" fontId="5" fillId="12" borderId="74" xfId="9" applyNumberFormat="1" applyFont="1" applyFill="1" applyBorder="1" applyAlignment="1" applyProtection="1">
      <alignment horizontal="left" indent="1"/>
      <protection locked="0"/>
    </xf>
    <xf numFmtId="41" fontId="5" fillId="12" borderId="138" xfId="9" applyNumberFormat="1" applyFont="1" applyFill="1" applyBorder="1" applyAlignment="1" applyProtection="1">
      <alignment horizontal="left" indent="1"/>
      <protection locked="0"/>
    </xf>
    <xf numFmtId="41" fontId="3" fillId="12" borderId="74" xfId="9" applyNumberFormat="1" applyFont="1" applyFill="1" applyBorder="1" applyAlignment="1" applyProtection="1">
      <alignment horizontal="center"/>
      <protection locked="0"/>
    </xf>
    <xf numFmtId="41" fontId="3" fillId="12" borderId="138" xfId="9" applyNumberFormat="1" applyFont="1" applyFill="1" applyBorder="1" applyAlignment="1" applyProtection="1">
      <alignment horizontal="center"/>
      <protection locked="0"/>
    </xf>
    <xf numFmtId="41" fontId="4" fillId="12" borderId="74" xfId="9" applyNumberFormat="1" applyFont="1" applyFill="1" applyBorder="1" applyAlignment="1" applyProtection="1">
      <alignment horizontal="left" indent="1"/>
      <protection locked="0"/>
    </xf>
    <xf numFmtId="41" fontId="4" fillId="12" borderId="138" xfId="9" applyNumberFormat="1" applyFont="1" applyFill="1" applyBorder="1" applyAlignment="1" applyProtection="1">
      <alignment horizontal="left" indent="1"/>
      <protection locked="0"/>
    </xf>
    <xf numFmtId="0" fontId="4" fillId="12" borderId="74" xfId="0" applyFont="1" applyFill="1" applyBorder="1" applyAlignment="1">
      <alignment horizontal="left" indent="1"/>
    </xf>
    <xf numFmtId="0" fontId="0" fillId="12" borderId="138" xfId="0" applyFill="1" applyBorder="1" applyAlignment="1">
      <alignment horizontal="left" indent="1"/>
    </xf>
    <xf numFmtId="0" fontId="0" fillId="12" borderId="74" xfId="0" applyFill="1" applyBorder="1" applyAlignment="1">
      <alignment horizontal="left" indent="1"/>
    </xf>
    <xf numFmtId="41" fontId="3" fillId="12" borderId="73" xfId="9" applyNumberFormat="1" applyFont="1" applyFill="1" applyBorder="1" applyAlignment="1" applyProtection="1">
      <alignment horizontal="left" indent="1"/>
      <protection locked="0"/>
    </xf>
    <xf numFmtId="41" fontId="3" fillId="12" borderId="79" xfId="9" applyNumberFormat="1" applyFont="1" applyFill="1" applyBorder="1" applyAlignment="1" applyProtection="1">
      <alignment horizontal="center"/>
      <protection locked="0"/>
    </xf>
    <xf numFmtId="41" fontId="3" fillId="12" borderId="22" xfId="9" applyNumberFormat="1" applyFont="1" applyFill="1" applyBorder="1" applyAlignment="1" applyProtection="1">
      <alignment horizontal="center"/>
      <protection locked="0"/>
    </xf>
    <xf numFmtId="0" fontId="3" fillId="12" borderId="74" xfId="0" applyFont="1" applyFill="1" applyBorder="1" applyAlignment="1">
      <alignment horizontal="center"/>
    </xf>
    <xf numFmtId="0" fontId="3" fillId="12" borderId="138" xfId="0" applyFont="1" applyFill="1" applyBorder="1" applyAlignment="1">
      <alignment horizontal="center"/>
    </xf>
    <xf numFmtId="41" fontId="5" fillId="12" borderId="75" xfId="9" applyNumberFormat="1" applyFont="1" applyFill="1" applyBorder="1" applyAlignment="1" applyProtection="1">
      <alignment horizontal="left" indent="1"/>
      <protection locked="0"/>
    </xf>
    <xf numFmtId="41" fontId="5" fillId="12" borderId="95" xfId="9" applyNumberFormat="1" applyFont="1" applyFill="1" applyBorder="1" applyAlignment="1" applyProtection="1">
      <alignment horizontal="left" indent="1"/>
      <protection locked="0"/>
    </xf>
    <xf numFmtId="41" fontId="5" fillId="12" borderId="140" xfId="9" applyNumberFormat="1" applyFont="1" applyFill="1" applyBorder="1" applyAlignment="1" applyProtection="1">
      <alignment horizontal="left" indent="1"/>
      <protection locked="0"/>
    </xf>
    <xf numFmtId="41" fontId="5" fillId="12" borderId="165" xfId="9" applyNumberFormat="1" applyFont="1" applyFill="1" applyBorder="1" applyAlignment="1" applyProtection="1">
      <alignment horizontal="left" indent="1"/>
      <protection locked="0"/>
    </xf>
    <xf numFmtId="41" fontId="5" fillId="12" borderId="96" xfId="9" applyNumberFormat="1" applyFont="1" applyFill="1" applyBorder="1" applyAlignment="1" applyProtection="1">
      <alignment horizontal="left" indent="1"/>
      <protection locked="0"/>
    </xf>
    <xf numFmtId="165" fontId="6" fillId="3" borderId="21" xfId="8" applyFont="1" applyFill="1" applyBorder="1" applyAlignment="1" applyProtection="1">
      <alignment horizontal="center"/>
    </xf>
    <xf numFmtId="165" fontId="6" fillId="3" borderId="82" xfId="8" applyFont="1" applyFill="1" applyBorder="1" applyAlignment="1" applyProtection="1">
      <alignment horizontal="center"/>
    </xf>
    <xf numFmtId="41" fontId="3" fillId="11" borderId="75" xfId="8" applyNumberFormat="1" applyFont="1" applyFill="1" applyBorder="1" applyAlignment="1" applyProtection="1">
      <alignment horizontal="left" indent="1"/>
    </xf>
    <xf numFmtId="41" fontId="3" fillId="11" borderId="76" xfId="8" applyNumberFormat="1" applyFont="1" applyFill="1" applyBorder="1" applyAlignment="1" applyProtection="1">
      <alignment horizontal="left" indent="1"/>
    </xf>
    <xf numFmtId="41" fontId="3" fillId="11" borderId="140" xfId="8" applyNumberFormat="1" applyFont="1" applyFill="1" applyBorder="1" applyAlignment="1" applyProtection="1">
      <alignment horizontal="left" indent="1"/>
    </xf>
    <xf numFmtId="41" fontId="3" fillId="11" borderId="165" xfId="8" applyNumberFormat="1" applyFont="1" applyFill="1" applyBorder="1" applyAlignment="1" applyProtection="1">
      <alignment horizontal="left" indent="1"/>
    </xf>
    <xf numFmtId="41" fontId="3" fillId="11" borderId="77" xfId="8" applyNumberFormat="1" applyFont="1" applyFill="1" applyBorder="1" applyAlignment="1" applyProtection="1">
      <alignment horizontal="left" indent="1"/>
    </xf>
    <xf numFmtId="165" fontId="6" fillId="3" borderId="28" xfId="8" applyFont="1" applyFill="1" applyBorder="1" applyAlignment="1" applyProtection="1">
      <alignment horizontal="center"/>
    </xf>
    <xf numFmtId="165" fontId="6" fillId="3" borderId="27" xfId="8" applyFont="1" applyFill="1" applyBorder="1" applyAlignment="1" applyProtection="1">
      <alignment horizontal="center"/>
    </xf>
    <xf numFmtId="165" fontId="6" fillId="3" borderId="140" xfId="8" applyFont="1" applyFill="1" applyBorder="1" applyAlignment="1" applyProtection="1">
      <alignment horizontal="center"/>
    </xf>
    <xf numFmtId="165" fontId="6" fillId="3" borderId="29" xfId="8" applyFont="1" applyFill="1" applyBorder="1" applyAlignment="1" applyProtection="1">
      <alignment horizontal="center"/>
    </xf>
    <xf numFmtId="165" fontId="6" fillId="3" borderId="28" xfId="9" applyFont="1" applyFill="1" applyBorder="1" applyAlignment="1" applyProtection="1">
      <alignment horizontal="center"/>
    </xf>
    <xf numFmtId="165" fontId="6" fillId="3" borderId="165" xfId="9" applyFont="1" applyFill="1" applyBorder="1" applyAlignment="1" applyProtection="1">
      <alignment horizontal="center"/>
    </xf>
    <xf numFmtId="165" fontId="6" fillId="3" borderId="27" xfId="9" applyFont="1" applyFill="1" applyBorder="1" applyAlignment="1" applyProtection="1">
      <alignment horizontal="center"/>
    </xf>
    <xf numFmtId="165" fontId="6" fillId="3" borderId="160" xfId="9" applyFont="1" applyFill="1" applyBorder="1" applyAlignment="1" applyProtection="1">
      <alignment horizontal="center"/>
    </xf>
    <xf numFmtId="165" fontId="6" fillId="3" borderId="29" xfId="9" applyFont="1" applyFill="1" applyBorder="1" applyAlignment="1" applyProtection="1">
      <alignment horizontal="center"/>
    </xf>
    <xf numFmtId="165" fontId="6" fillId="3" borderId="76" xfId="9" applyFont="1" applyFill="1" applyBorder="1" applyAlignment="1" applyProtection="1">
      <alignment horizontal="center"/>
    </xf>
    <xf numFmtId="165" fontId="6" fillId="3" borderId="59" xfId="9" applyFont="1" applyFill="1" applyBorder="1" applyAlignment="1" applyProtection="1">
      <alignment horizontal="center"/>
    </xf>
    <xf numFmtId="165" fontId="6" fillId="0" borderId="74" xfId="9" applyFont="1" applyFill="1" applyBorder="1" applyAlignment="1" applyProtection="1">
      <alignment horizontal="center"/>
    </xf>
    <xf numFmtId="165" fontId="5" fillId="12" borderId="113" xfId="8" applyFont="1" applyFill="1" applyBorder="1" applyAlignment="1" applyProtection="1">
      <alignment horizontal="center" wrapText="1"/>
      <protection locked="0"/>
    </xf>
    <xf numFmtId="165" fontId="5" fillId="12" borderId="114" xfId="8" applyFont="1" applyFill="1" applyBorder="1" applyAlignment="1" applyProtection="1">
      <alignment horizontal="center" wrapText="1"/>
      <protection locked="0"/>
    </xf>
    <xf numFmtId="165" fontId="5" fillId="12" borderId="115" xfId="8" applyFont="1" applyFill="1" applyBorder="1" applyAlignment="1" applyProtection="1">
      <alignment horizontal="center" wrapText="1"/>
      <protection locked="0"/>
    </xf>
    <xf numFmtId="165" fontId="10" fillId="27" borderId="139" xfId="9" applyFont="1" applyFill="1" applyBorder="1" applyAlignment="1" applyProtection="1">
      <alignment horizontal="center"/>
    </xf>
    <xf numFmtId="165" fontId="10" fillId="27" borderId="140" xfId="9" applyFont="1" applyFill="1" applyBorder="1" applyAlignment="1" applyProtection="1">
      <alignment horizontal="center"/>
    </xf>
    <xf numFmtId="165" fontId="10" fillId="27" borderId="165" xfId="9" applyFont="1" applyFill="1" applyBorder="1" applyAlignment="1" applyProtection="1">
      <alignment horizontal="center"/>
    </xf>
    <xf numFmtId="165" fontId="10" fillId="27" borderId="141" xfId="9" applyFont="1" applyFill="1" applyBorder="1" applyAlignment="1" applyProtection="1">
      <alignment horizontal="center"/>
    </xf>
    <xf numFmtId="165" fontId="6" fillId="0" borderId="138" xfId="9" applyFont="1" applyFill="1" applyBorder="1" applyAlignment="1" applyProtection="1">
      <alignment horizontal="center"/>
    </xf>
    <xf numFmtId="41" fontId="3" fillId="27" borderId="135" xfId="8" applyNumberFormat="1" applyFont="1" applyFill="1" applyBorder="1" applyAlignment="1" applyProtection="1">
      <alignment horizontal="left" indent="1"/>
    </xf>
    <xf numFmtId="41" fontId="3" fillId="27" borderId="150" xfId="8" applyNumberFormat="1" applyFont="1" applyFill="1" applyBorder="1" applyAlignment="1" applyProtection="1">
      <alignment horizontal="left" indent="1"/>
    </xf>
    <xf numFmtId="41" fontId="3" fillId="12" borderId="127" xfId="9" applyNumberFormat="1" applyFont="1" applyFill="1" applyBorder="1" applyAlignment="1" applyProtection="1">
      <alignment horizontal="center"/>
    </xf>
    <xf numFmtId="41" fontId="3" fillId="12" borderId="126" xfId="9" applyNumberFormat="1" applyFont="1" applyFill="1" applyBorder="1" applyAlignment="1" applyProtection="1">
      <alignment horizontal="center"/>
    </xf>
    <xf numFmtId="41" fontId="3" fillId="12" borderId="152" xfId="9" applyNumberFormat="1" applyFont="1" applyFill="1" applyBorder="1" applyAlignment="1" applyProtection="1">
      <alignment horizontal="center"/>
    </xf>
    <xf numFmtId="14" fontId="3" fillId="12" borderId="153" xfId="9" applyNumberFormat="1" applyFont="1" applyFill="1" applyBorder="1" applyAlignment="1" applyProtection="1">
      <alignment horizontal="center" vertical="center"/>
    </xf>
    <xf numFmtId="14" fontId="3" fillId="12" borderId="154" xfId="9" applyNumberFormat="1" applyFont="1" applyFill="1" applyBorder="1" applyAlignment="1" applyProtection="1">
      <alignment horizontal="center" vertical="center"/>
    </xf>
    <xf numFmtId="14" fontId="3" fillId="12" borderId="20" xfId="9" applyNumberFormat="1" applyFont="1" applyFill="1" applyBorder="1" applyAlignment="1" applyProtection="1">
      <alignment horizontal="center" vertical="center"/>
    </xf>
    <xf numFmtId="14" fontId="3" fillId="12" borderId="148" xfId="9" applyNumberFormat="1" applyFont="1" applyFill="1" applyBorder="1" applyAlignment="1" applyProtection="1">
      <alignment horizontal="center" vertical="center"/>
    </xf>
    <xf numFmtId="14" fontId="3" fillId="12" borderId="127" xfId="9" applyNumberFormat="1" applyFont="1" applyFill="1" applyBorder="1" applyAlignment="1" applyProtection="1">
      <alignment horizontal="center" vertical="center"/>
    </xf>
    <xf numFmtId="14" fontId="3" fillId="12" borderId="126" xfId="9" applyNumberFormat="1" applyFont="1" applyFill="1" applyBorder="1" applyAlignment="1" applyProtection="1">
      <alignment horizontal="center" vertical="center"/>
    </xf>
    <xf numFmtId="41" fontId="4" fillId="12" borderId="153" xfId="9" applyNumberFormat="1" applyFont="1" applyFill="1" applyBorder="1" applyAlignment="1" applyProtection="1">
      <alignment horizontal="center" vertical="center" wrapText="1"/>
    </xf>
    <xf numFmtId="41" fontId="4" fillId="12" borderId="142" xfId="9" applyNumberFormat="1" applyFont="1" applyFill="1" applyBorder="1" applyAlignment="1" applyProtection="1">
      <alignment horizontal="center" vertical="center" wrapText="1"/>
    </xf>
    <xf numFmtId="41" fontId="4" fillId="12" borderId="154" xfId="9" applyNumberFormat="1" applyFont="1" applyFill="1" applyBorder="1" applyAlignment="1" applyProtection="1">
      <alignment horizontal="center" vertical="center" wrapText="1"/>
    </xf>
    <xf numFmtId="41" fontId="4" fillId="12" borderId="20" xfId="9" applyNumberFormat="1" applyFont="1" applyFill="1" applyBorder="1" applyAlignment="1" applyProtection="1">
      <alignment horizontal="center" vertical="center" wrapText="1"/>
    </xf>
    <xf numFmtId="41" fontId="4" fillId="12" borderId="0" xfId="9" applyNumberFormat="1" applyFont="1" applyFill="1" applyBorder="1" applyAlignment="1" applyProtection="1">
      <alignment horizontal="center" vertical="center" wrapText="1"/>
    </xf>
    <xf numFmtId="41" fontId="4" fillId="12" borderId="148" xfId="9" applyNumberFormat="1" applyFont="1" applyFill="1" applyBorder="1" applyAlignment="1" applyProtection="1">
      <alignment horizontal="center" vertical="center" wrapText="1"/>
    </xf>
    <xf numFmtId="41" fontId="4" fillId="12" borderId="127" xfId="9" applyNumberFormat="1" applyFont="1" applyFill="1" applyBorder="1" applyAlignment="1" applyProtection="1">
      <alignment horizontal="center" vertical="center" wrapText="1"/>
    </xf>
    <xf numFmtId="41" fontId="4" fillId="12" borderId="82" xfId="9" applyNumberFormat="1" applyFont="1" applyFill="1" applyBorder="1" applyAlignment="1" applyProtection="1">
      <alignment horizontal="center" vertical="center" wrapText="1"/>
    </xf>
    <xf numFmtId="41" fontId="4" fillId="12" borderId="126" xfId="9" applyNumberFormat="1" applyFont="1" applyFill="1" applyBorder="1" applyAlignment="1" applyProtection="1">
      <alignment horizontal="center" vertical="center" wrapText="1"/>
    </xf>
    <xf numFmtId="41" fontId="5" fillId="12" borderId="155" xfId="9" applyNumberFormat="1" applyFont="1" applyFill="1" applyBorder="1" applyAlignment="1" applyProtection="1">
      <alignment horizontal="left" wrapText="1"/>
    </xf>
    <xf numFmtId="41" fontId="5" fillId="12" borderId="150" xfId="9" applyNumberFormat="1" applyFont="1" applyFill="1" applyBorder="1" applyAlignment="1" applyProtection="1">
      <alignment horizontal="left" wrapText="1"/>
    </xf>
    <xf numFmtId="41" fontId="5" fillId="12" borderId="151" xfId="9" applyNumberFormat="1" applyFont="1" applyFill="1" applyBorder="1" applyAlignment="1" applyProtection="1">
      <alignment horizontal="left" wrapText="1"/>
    </xf>
    <xf numFmtId="165" fontId="10" fillId="27" borderId="139" xfId="8" applyFont="1" applyFill="1" applyBorder="1" applyAlignment="1" applyProtection="1">
      <alignment horizontal="center"/>
    </xf>
    <xf numFmtId="165" fontId="10" fillId="27" borderId="140" xfId="8" applyFont="1" applyFill="1" applyBorder="1" applyAlignment="1" applyProtection="1">
      <alignment horizontal="center"/>
    </xf>
    <xf numFmtId="165" fontId="10" fillId="27" borderId="141" xfId="8" applyFont="1" applyFill="1" applyBorder="1" applyAlignment="1" applyProtection="1">
      <alignment horizontal="center"/>
    </xf>
    <xf numFmtId="41" fontId="3" fillId="12" borderId="79" xfId="9" applyNumberFormat="1" applyFont="1" applyFill="1" applyBorder="1" applyAlignment="1" applyProtection="1">
      <alignment horizontal="center"/>
    </xf>
    <xf numFmtId="41" fontId="3" fillId="12" borderId="22" xfId="9" applyNumberFormat="1" applyFont="1" applyFill="1" applyBorder="1" applyAlignment="1" applyProtection="1">
      <alignment horizontal="center"/>
    </xf>
    <xf numFmtId="41" fontId="3" fillId="12" borderId="108" xfId="9" applyNumberFormat="1" applyFont="1" applyFill="1" applyBorder="1" applyAlignment="1" applyProtection="1">
      <alignment horizontal="center"/>
    </xf>
    <xf numFmtId="165" fontId="10" fillId="27" borderId="29" xfId="8" applyFont="1" applyFill="1" applyBorder="1" applyAlignment="1" applyProtection="1">
      <alignment horizontal="center"/>
    </xf>
    <xf numFmtId="165" fontId="10" fillId="27" borderId="28" xfId="9" applyFont="1" applyFill="1" applyBorder="1" applyAlignment="1" applyProtection="1">
      <alignment horizontal="center"/>
    </xf>
    <xf numFmtId="165" fontId="10" fillId="27" borderId="27" xfId="9" applyFont="1" applyFill="1" applyBorder="1" applyAlignment="1" applyProtection="1">
      <alignment horizontal="center"/>
    </xf>
    <xf numFmtId="165" fontId="10" fillId="27" borderId="29" xfId="9" applyFont="1" applyFill="1" applyBorder="1" applyAlignment="1" applyProtection="1">
      <alignment horizontal="center"/>
    </xf>
    <xf numFmtId="165" fontId="10" fillId="27" borderId="76" xfId="9" applyFont="1" applyFill="1" applyBorder="1" applyAlignment="1" applyProtection="1">
      <alignment horizontal="center"/>
    </xf>
    <xf numFmtId="165" fontId="10" fillId="27" borderId="59" xfId="9" applyFont="1" applyFill="1" applyBorder="1" applyAlignment="1" applyProtection="1">
      <alignment horizontal="center"/>
    </xf>
    <xf numFmtId="41" fontId="3" fillId="27" borderId="75" xfId="8" applyNumberFormat="1" applyFont="1" applyFill="1" applyBorder="1" applyAlignment="1" applyProtection="1">
      <alignment horizontal="left" indent="1"/>
    </xf>
    <xf numFmtId="41" fontId="3" fillId="27" borderId="76" xfId="8" applyNumberFormat="1" applyFont="1" applyFill="1" applyBorder="1" applyAlignment="1" applyProtection="1">
      <alignment horizontal="left" indent="1"/>
    </xf>
    <xf numFmtId="41" fontId="3" fillId="27" borderId="165" xfId="8" applyNumberFormat="1" applyFont="1" applyFill="1" applyBorder="1" applyAlignment="1" applyProtection="1">
      <alignment horizontal="left" indent="1"/>
    </xf>
    <xf numFmtId="41" fontId="3" fillId="27" borderId="77" xfId="8" applyNumberFormat="1" applyFont="1" applyFill="1" applyBorder="1" applyAlignment="1" applyProtection="1">
      <alignment horizontal="left" indent="1"/>
    </xf>
    <xf numFmtId="41" fontId="3" fillId="27" borderId="118" xfId="8" applyNumberFormat="1" applyFont="1" applyFill="1" applyBorder="1" applyAlignment="1" applyProtection="1">
      <alignment horizontal="left" indent="1"/>
    </xf>
    <xf numFmtId="49" fontId="4" fillId="12" borderId="118" xfId="8" applyNumberFormat="1" applyFont="1" applyFill="1" applyBorder="1" applyAlignment="1" applyProtection="1">
      <alignment horizontal="left" vertical="center" wrapText="1" indent="1"/>
    </xf>
    <xf numFmtId="41" fontId="5" fillId="12" borderId="120" xfId="9" applyNumberFormat="1" applyFont="1" applyFill="1" applyBorder="1" applyAlignment="1" applyProtection="1">
      <alignment horizontal="left"/>
    </xf>
    <xf numFmtId="41" fontId="5" fillId="12" borderId="121" xfId="9" applyNumberFormat="1" applyFont="1" applyFill="1" applyBorder="1" applyAlignment="1" applyProtection="1">
      <alignment horizontal="left"/>
    </xf>
    <xf numFmtId="41" fontId="5" fillId="12" borderId="122" xfId="9" applyNumberFormat="1" applyFont="1" applyFill="1" applyBorder="1" applyAlignment="1" applyProtection="1">
      <alignment horizontal="left"/>
    </xf>
    <xf numFmtId="41" fontId="3" fillId="12" borderId="73" xfId="9" applyNumberFormat="1" applyFont="1" applyFill="1" applyBorder="1" applyAlignment="1" applyProtection="1">
      <alignment horizontal="left" indent="1"/>
    </xf>
    <xf numFmtId="41" fontId="4" fillId="12" borderId="108" xfId="9" applyNumberFormat="1" applyFont="1" applyFill="1" applyBorder="1" applyAlignment="1" applyProtection="1">
      <alignment horizontal="center"/>
    </xf>
    <xf numFmtId="164" fontId="5" fillId="2" borderId="161" xfId="1" applyNumberFormat="1" applyFont="1" applyFill="1" applyBorder="1" applyAlignment="1" applyProtection="1">
      <alignment horizontal="center"/>
    </xf>
    <xf numFmtId="164" fontId="5" fillId="2" borderId="160" xfId="1" applyNumberFormat="1" applyFont="1" applyFill="1" applyBorder="1" applyAlignment="1" applyProtection="1">
      <alignment horizontal="center"/>
    </xf>
    <xf numFmtId="164" fontId="5" fillId="2" borderId="162" xfId="1" applyNumberFormat="1" applyFont="1" applyFill="1" applyBorder="1" applyAlignment="1" applyProtection="1">
      <alignment horizontal="center"/>
    </xf>
    <xf numFmtId="0" fontId="5" fillId="2" borderId="161" xfId="0" applyFont="1" applyFill="1" applyBorder="1" applyAlignment="1">
      <alignment horizontal="center"/>
    </xf>
    <xf numFmtId="0" fontId="5" fillId="2" borderId="162" xfId="0" applyFont="1" applyFill="1" applyBorder="1" applyAlignment="1">
      <alignment horizontal="center"/>
    </xf>
    <xf numFmtId="0" fontId="8" fillId="3" borderId="144" xfId="0" applyFont="1" applyFill="1" applyBorder="1" applyAlignment="1">
      <alignment horizontal="center" vertical="center"/>
    </xf>
    <xf numFmtId="0" fontId="8" fillId="3" borderId="119" xfId="0" applyFont="1" applyFill="1" applyBorder="1" applyAlignment="1">
      <alignment horizontal="center" vertical="center"/>
    </xf>
    <xf numFmtId="0" fontId="3" fillId="11" borderId="75" xfId="0" applyFont="1" applyFill="1" applyBorder="1" applyAlignment="1">
      <alignment horizontal="left" indent="1"/>
    </xf>
    <xf numFmtId="0" fontId="3" fillId="11" borderId="76" xfId="0" applyFont="1" applyFill="1" applyBorder="1" applyAlignment="1">
      <alignment horizontal="left" indent="1"/>
    </xf>
    <xf numFmtId="0" fontId="3" fillId="11" borderId="77" xfId="0" applyFont="1" applyFill="1" applyBorder="1" applyAlignment="1">
      <alignment horizontal="left" indent="1"/>
    </xf>
    <xf numFmtId="0" fontId="7" fillId="12" borderId="74" xfId="0" applyFont="1" applyFill="1" applyBorder="1" applyAlignment="1">
      <alignment horizontal="left" vertical="top" wrapText="1" indent="1"/>
    </xf>
    <xf numFmtId="0" fontId="6" fillId="11" borderId="75" xfId="1" applyNumberFormat="1" applyFont="1" applyFill="1" applyBorder="1" applyAlignment="1" applyProtection="1">
      <alignment horizontal="left" indent="1"/>
    </xf>
    <xf numFmtId="0" fontId="6" fillId="11" borderId="76" xfId="1" applyNumberFormat="1" applyFont="1" applyFill="1" applyBorder="1" applyAlignment="1" applyProtection="1">
      <alignment horizontal="left" indent="1"/>
    </xf>
    <xf numFmtId="49" fontId="5" fillId="12" borderId="74" xfId="1" applyNumberFormat="1" applyFont="1" applyFill="1" applyBorder="1" applyAlignment="1" applyProtection="1">
      <alignment horizontal="left" indent="1"/>
    </xf>
    <xf numFmtId="49" fontId="5" fillId="12" borderId="74" xfId="1" applyNumberFormat="1" applyFont="1" applyFill="1" applyBorder="1" applyAlignment="1" applyProtection="1">
      <alignment horizontal="left" wrapText="1" indent="1"/>
    </xf>
    <xf numFmtId="0" fontId="0" fillId="2" borderId="28" xfId="0" applyFill="1" applyBorder="1" applyAlignment="1">
      <alignment horizontal="center"/>
    </xf>
    <xf numFmtId="0" fontId="0" fillId="2" borderId="29" xfId="0" applyFill="1" applyBorder="1" applyAlignment="1">
      <alignment horizontal="center"/>
    </xf>
    <xf numFmtId="0" fontId="4" fillId="12" borderId="41" xfId="0" applyFont="1" applyFill="1" applyBorder="1" applyAlignment="1" applyProtection="1">
      <alignment horizontal="left" vertical="top" wrapText="1"/>
      <protection locked="0"/>
    </xf>
    <xf numFmtId="0" fontId="0" fillId="12" borderId="39" xfId="0" applyFill="1" applyBorder="1" applyAlignment="1" applyProtection="1">
      <alignment horizontal="left" vertical="top" wrapText="1"/>
      <protection locked="0"/>
    </xf>
    <xf numFmtId="0" fontId="0" fillId="12" borderId="42" xfId="0" applyFill="1" applyBorder="1" applyAlignment="1" applyProtection="1">
      <alignment horizontal="left" vertical="top" wrapText="1"/>
      <protection locked="0"/>
    </xf>
    <xf numFmtId="0" fontId="0" fillId="12" borderId="43" xfId="0" applyFill="1" applyBorder="1" applyAlignment="1" applyProtection="1">
      <alignment horizontal="left" vertical="top" wrapText="1"/>
      <protection locked="0"/>
    </xf>
    <xf numFmtId="0" fontId="0" fillId="12" borderId="0" xfId="0" applyFill="1" applyBorder="1" applyAlignment="1" applyProtection="1">
      <alignment horizontal="left" vertical="top" wrapText="1"/>
      <protection locked="0"/>
    </xf>
    <xf numFmtId="0" fontId="0" fillId="12" borderId="44" xfId="0" applyFill="1" applyBorder="1" applyAlignment="1" applyProtection="1">
      <alignment horizontal="left" vertical="top" wrapText="1"/>
      <protection locked="0"/>
    </xf>
    <xf numFmtId="0" fontId="0" fillId="12" borderId="45" xfId="0" applyFill="1" applyBorder="1" applyAlignment="1" applyProtection="1">
      <alignment horizontal="left" vertical="top" wrapText="1"/>
      <protection locked="0"/>
    </xf>
    <xf numFmtId="0" fontId="0" fillId="12" borderId="4" xfId="0" applyFill="1" applyBorder="1" applyAlignment="1" applyProtection="1">
      <alignment horizontal="left" vertical="top" wrapText="1"/>
      <protection locked="0"/>
    </xf>
    <xf numFmtId="0" fontId="0" fillId="12" borderId="46" xfId="0" applyFill="1" applyBorder="1" applyAlignment="1" applyProtection="1">
      <alignment horizontal="left" vertical="top" wrapText="1"/>
      <protection locked="0"/>
    </xf>
    <xf numFmtId="0" fontId="39" fillId="0" borderId="0" xfId="0" applyFont="1" applyAlignment="1">
      <alignment horizontal="left" wrapText="1"/>
    </xf>
    <xf numFmtId="0" fontId="27" fillId="2" borderId="157" xfId="0" applyFont="1" applyFill="1" applyBorder="1" applyAlignment="1">
      <alignment horizontal="center"/>
    </xf>
    <xf numFmtId="0" fontId="27" fillId="2" borderId="158" xfId="0" applyFont="1" applyFill="1" applyBorder="1" applyAlignment="1">
      <alignment horizontal="center"/>
    </xf>
    <xf numFmtId="49" fontId="19" fillId="5" borderId="144" xfId="0" applyNumberFormat="1" applyFont="1" applyFill="1" applyBorder="1" applyAlignment="1" applyProtection="1">
      <alignment horizontal="center" wrapText="1"/>
    </xf>
    <xf numFmtId="49" fontId="19" fillId="5" borderId="94" xfId="0" applyNumberFormat="1" applyFont="1" applyFill="1" applyBorder="1" applyAlignment="1" applyProtection="1">
      <alignment horizontal="center" wrapText="1"/>
    </xf>
    <xf numFmtId="49" fontId="19" fillId="5" borderId="119" xfId="0" applyNumberFormat="1" applyFont="1" applyFill="1" applyBorder="1" applyAlignment="1" applyProtection="1">
      <alignment horizontal="center" wrapText="1"/>
    </xf>
    <xf numFmtId="49" fontId="19" fillId="5" borderId="92" xfId="0" applyNumberFormat="1" applyFont="1" applyFill="1" applyBorder="1" applyAlignment="1" applyProtection="1">
      <alignment horizontal="center" wrapText="1"/>
    </xf>
    <xf numFmtId="49" fontId="19" fillId="5" borderId="83" xfId="0" applyNumberFormat="1" applyFont="1" applyFill="1" applyBorder="1" applyAlignment="1" applyProtection="1">
      <alignment horizontal="center" wrapText="1"/>
    </xf>
    <xf numFmtId="49" fontId="19" fillId="5" borderId="156" xfId="0" applyNumberFormat="1" applyFont="1" applyFill="1" applyBorder="1" applyAlignment="1" applyProtection="1">
      <alignment horizontal="center" wrapText="1"/>
    </xf>
    <xf numFmtId="0" fontId="18" fillId="0" borderId="0" xfId="0" applyFont="1" applyFill="1" applyBorder="1" applyAlignment="1" applyProtection="1">
      <alignment horizontal="center"/>
    </xf>
    <xf numFmtId="0" fontId="20" fillId="5" borderId="91" xfId="0" applyNumberFormat="1" applyFont="1" applyFill="1" applyBorder="1" applyAlignment="1" applyProtection="1">
      <alignment horizontal="center" wrapText="1"/>
    </xf>
    <xf numFmtId="0" fontId="20" fillId="5" borderId="81" xfId="0" applyNumberFormat="1" applyFont="1" applyFill="1" applyBorder="1" applyAlignment="1" applyProtection="1">
      <alignment horizontal="center" wrapText="1"/>
    </xf>
    <xf numFmtId="0" fontId="20" fillId="5" borderId="66" xfId="0" applyNumberFormat="1" applyFont="1" applyFill="1" applyBorder="1" applyAlignment="1" applyProtection="1">
      <alignment horizontal="center" wrapText="1"/>
    </xf>
    <xf numFmtId="49" fontId="20" fillId="5" borderId="21" xfId="0" applyNumberFormat="1" applyFont="1" applyFill="1" applyBorder="1" applyAlignment="1" applyProtection="1">
      <alignment horizontal="center" wrapText="1"/>
    </xf>
    <xf numFmtId="49" fontId="20" fillId="5" borderId="82" xfId="0" applyNumberFormat="1" applyFont="1" applyFill="1" applyBorder="1" applyAlignment="1" applyProtection="1">
      <alignment horizontal="center" wrapText="1"/>
    </xf>
    <xf numFmtId="49" fontId="20" fillId="5" borderId="22" xfId="0" applyNumberFormat="1" applyFont="1" applyFill="1" applyBorder="1" applyAlignment="1" applyProtection="1">
      <alignment horizontal="center" wrapText="1"/>
    </xf>
    <xf numFmtId="49" fontId="19" fillId="5" borderId="88" xfId="0" applyNumberFormat="1" applyFont="1" applyFill="1" applyBorder="1" applyAlignment="1" applyProtection="1">
      <alignment horizontal="center" wrapText="1"/>
    </xf>
    <xf numFmtId="49" fontId="19" fillId="5" borderId="8" xfId="0" applyNumberFormat="1" applyFont="1" applyFill="1" applyBorder="1" applyAlignment="1" applyProtection="1">
      <alignment horizontal="center" wrapText="1"/>
    </xf>
    <xf numFmtId="49" fontId="19" fillId="5" borderId="15" xfId="0" applyNumberFormat="1" applyFont="1" applyFill="1" applyBorder="1" applyAlignment="1" applyProtection="1">
      <alignment horizontal="center" wrapText="1"/>
    </xf>
    <xf numFmtId="0" fontId="25" fillId="5" borderId="91" xfId="0" applyFont="1" applyFill="1" applyBorder="1" applyAlignment="1" applyProtection="1">
      <alignment horizontal="left" wrapText="1"/>
    </xf>
    <xf numFmtId="0" fontId="25" fillId="5" borderId="47" xfId="0" applyFont="1" applyFill="1" applyBorder="1" applyAlignment="1" applyProtection="1">
      <alignment horizontal="left" wrapText="1"/>
    </xf>
    <xf numFmtId="49" fontId="19" fillId="5" borderId="93" xfId="0" applyNumberFormat="1" applyFont="1" applyFill="1" applyBorder="1" applyAlignment="1" applyProtection="1">
      <alignment horizontal="center" wrapText="1"/>
    </xf>
    <xf numFmtId="49" fontId="19" fillId="5" borderId="80" xfId="0" applyNumberFormat="1" applyFont="1" applyFill="1" applyBorder="1" applyAlignment="1" applyProtection="1">
      <alignment horizontal="center" wrapText="1"/>
    </xf>
    <xf numFmtId="0" fontId="19" fillId="5" borderId="20" xfId="0" quotePrefix="1" applyFont="1" applyFill="1" applyBorder="1" applyAlignment="1" applyProtection="1">
      <alignment horizontal="left" wrapText="1" indent="1"/>
    </xf>
    <xf numFmtId="0" fontId="19" fillId="5" borderId="25" xfId="0" applyFont="1" applyFill="1" applyBorder="1" applyAlignment="1" applyProtection="1">
      <alignment horizontal="left" wrapText="1" indent="1"/>
    </xf>
    <xf numFmtId="0" fontId="19" fillId="5" borderId="21" xfId="0" quotePrefix="1" applyFont="1" applyFill="1" applyBorder="1" applyAlignment="1" applyProtection="1">
      <alignment horizontal="left" wrapText="1" indent="1"/>
    </xf>
    <xf numFmtId="0" fontId="19" fillId="5" borderId="48" xfId="0" applyFont="1" applyFill="1" applyBorder="1" applyAlignment="1" applyProtection="1">
      <alignment horizontal="left" wrapText="1" indent="1"/>
    </xf>
    <xf numFmtId="0" fontId="20" fillId="5" borderId="97" xfId="0" applyNumberFormat="1" applyFont="1" applyFill="1" applyBorder="1" applyAlignment="1" applyProtection="1">
      <alignment horizontal="center" wrapText="1"/>
    </xf>
    <xf numFmtId="0" fontId="20" fillId="5" borderId="98" xfId="0" applyNumberFormat="1" applyFont="1" applyFill="1" applyBorder="1" applyAlignment="1" applyProtection="1">
      <alignment horizontal="center" wrapText="1"/>
    </xf>
    <xf numFmtId="0" fontId="20" fillId="5" borderId="99" xfId="0" applyNumberFormat="1" applyFont="1" applyFill="1" applyBorder="1" applyAlignment="1" applyProtection="1">
      <alignment horizontal="center" wrapText="1"/>
    </xf>
    <xf numFmtId="49" fontId="19" fillId="5" borderId="97" xfId="0" applyNumberFormat="1" applyFont="1" applyFill="1" applyBorder="1" applyAlignment="1" applyProtection="1">
      <alignment horizontal="left" wrapText="1"/>
    </xf>
    <xf numFmtId="49" fontId="19" fillId="5" borderId="98" xfId="0" applyNumberFormat="1" applyFont="1" applyFill="1" applyBorder="1" applyAlignment="1" applyProtection="1">
      <alignment horizontal="left" wrapText="1"/>
    </xf>
    <xf numFmtId="49" fontId="19" fillId="5" borderId="99" xfId="0" applyNumberFormat="1" applyFont="1" applyFill="1" applyBorder="1" applyAlignment="1" applyProtection="1">
      <alignment horizontal="left" wrapText="1"/>
    </xf>
    <xf numFmtId="0" fontId="19" fillId="5" borderId="97" xfId="0" quotePrefix="1" applyFont="1" applyFill="1" applyBorder="1" applyAlignment="1" applyProtection="1">
      <alignment horizontal="left" wrapText="1"/>
    </xf>
    <xf numFmtId="0" fontId="19" fillId="5" borderId="98" xfId="0" quotePrefix="1" applyFont="1" applyFill="1" applyBorder="1" applyAlignment="1" applyProtection="1">
      <alignment horizontal="left" wrapText="1"/>
    </xf>
    <xf numFmtId="49" fontId="18" fillId="12" borderId="97" xfId="0" applyNumberFormat="1" applyFont="1" applyFill="1" applyBorder="1" applyAlignment="1" applyProtection="1">
      <alignment horizontal="left" vertical="top" wrapText="1"/>
      <protection locked="0"/>
    </xf>
    <xf numFmtId="49" fontId="18" fillId="12" borderId="98" xfId="0" applyNumberFormat="1" applyFont="1" applyFill="1" applyBorder="1" applyAlignment="1" applyProtection="1">
      <alignment horizontal="left" vertical="top" wrapText="1"/>
      <protection locked="0"/>
    </xf>
    <xf numFmtId="49" fontId="18" fillId="12" borderId="99" xfId="0" applyNumberFormat="1" applyFont="1" applyFill="1" applyBorder="1" applyAlignment="1" applyProtection="1">
      <alignment horizontal="left" vertical="top" wrapText="1"/>
      <protection locked="0"/>
    </xf>
    <xf numFmtId="0" fontId="18" fillId="12" borderId="97" xfId="0" applyFont="1" applyFill="1" applyBorder="1" applyAlignment="1" applyProtection="1">
      <alignment horizontal="center" vertical="top" wrapText="1"/>
      <protection locked="0"/>
    </xf>
    <xf numFmtId="0" fontId="18" fillId="12" borderId="98" xfId="0" applyFont="1" applyFill="1" applyBorder="1" applyAlignment="1" applyProtection="1">
      <alignment horizontal="center" vertical="top" wrapText="1"/>
      <protection locked="0"/>
    </xf>
    <xf numFmtId="0" fontId="18" fillId="12" borderId="99" xfId="0" applyFont="1" applyFill="1" applyBorder="1" applyAlignment="1" applyProtection="1">
      <alignment horizontal="center" vertical="top" wrapText="1"/>
      <protection locked="0"/>
    </xf>
    <xf numFmtId="0" fontId="18" fillId="12" borderId="95" xfId="0" applyFont="1" applyFill="1" applyBorder="1" applyAlignment="1" applyProtection="1">
      <alignment horizontal="left" vertical="top" wrapText="1" indent="1"/>
      <protection locked="0"/>
    </xf>
    <xf numFmtId="0" fontId="18" fillId="12" borderId="85" xfId="0" applyFont="1" applyFill="1" applyBorder="1" applyAlignment="1" applyProtection="1">
      <alignment horizontal="left" vertical="top" wrapText="1" indent="1"/>
      <protection locked="0"/>
    </xf>
    <xf numFmtId="0" fontId="18" fillId="5" borderId="97" xfId="0" applyNumberFormat="1" applyFont="1" applyFill="1" applyBorder="1" applyAlignment="1" applyProtection="1">
      <alignment horizontal="center"/>
    </xf>
    <xf numFmtId="0" fontId="18" fillId="5" borderId="105" xfId="0" applyNumberFormat="1" applyFont="1" applyFill="1" applyBorder="1" applyAlignment="1" applyProtection="1">
      <alignment horizontal="center"/>
    </xf>
    <xf numFmtId="0" fontId="18" fillId="0" borderId="81" xfId="0" applyFont="1" applyBorder="1" applyAlignment="1" applyProtection="1">
      <alignment horizontal="center"/>
      <protection locked="0"/>
    </xf>
    <xf numFmtId="0" fontId="18" fillId="5" borderId="86" xfId="0" applyFont="1" applyFill="1" applyBorder="1" applyAlignment="1" applyProtection="1">
      <alignment horizontal="center"/>
    </xf>
    <xf numFmtId="0" fontId="18" fillId="5" borderId="90" xfId="0" applyNumberFormat="1" applyFont="1" applyFill="1" applyBorder="1" applyAlignment="1" applyProtection="1">
      <alignment horizontal="center" wrapText="1"/>
    </xf>
    <xf numFmtId="0" fontId="18" fillId="5" borderId="3" xfId="0" applyNumberFormat="1" applyFont="1" applyFill="1" applyBorder="1" applyAlignment="1" applyProtection="1">
      <alignment horizontal="center" wrapText="1"/>
    </xf>
    <xf numFmtId="0" fontId="18" fillId="5" borderId="106" xfId="0" applyNumberFormat="1" applyFont="1" applyFill="1" applyBorder="1" applyAlignment="1" applyProtection="1">
      <alignment horizontal="center" wrapText="1"/>
    </xf>
    <xf numFmtId="0" fontId="18" fillId="5" borderId="107" xfId="0" applyNumberFormat="1" applyFont="1" applyFill="1" applyBorder="1" applyAlignment="1" applyProtection="1">
      <alignment horizontal="center" wrapText="1"/>
    </xf>
    <xf numFmtId="0" fontId="18" fillId="5" borderId="161" xfId="0" applyNumberFormat="1" applyFont="1" applyFill="1" applyBorder="1" applyAlignment="1" applyProtection="1">
      <alignment horizontal="center"/>
    </xf>
    <xf numFmtId="0" fontId="18" fillId="5" borderId="160" xfId="0" applyNumberFormat="1" applyFont="1" applyFill="1" applyBorder="1" applyAlignment="1" applyProtection="1">
      <alignment horizontal="center"/>
    </xf>
    <xf numFmtId="0" fontId="18" fillId="5" borderId="162" xfId="0" applyNumberFormat="1" applyFont="1" applyFill="1" applyBorder="1" applyAlignment="1" applyProtection="1">
      <alignment horizontal="center"/>
    </xf>
    <xf numFmtId="0" fontId="3" fillId="2" borderId="9" xfId="0" applyFont="1" applyFill="1" applyBorder="1" applyAlignment="1">
      <alignment horizontal="center" vertical="center"/>
    </xf>
    <xf numFmtId="0" fontId="12" fillId="2" borderId="9" xfId="0" applyFont="1" applyFill="1" applyBorder="1" applyAlignment="1">
      <alignment horizontal="center" vertical="center"/>
    </xf>
    <xf numFmtId="0" fontId="12" fillId="2" borderId="63" xfId="0" applyFont="1" applyFill="1" applyBorder="1" applyAlignment="1">
      <alignment horizontal="center" vertical="center"/>
    </xf>
    <xf numFmtId="0" fontId="3" fillId="2" borderId="135" xfId="0" applyFont="1" applyFill="1" applyBorder="1" applyAlignment="1">
      <alignment horizontal="center" vertical="center"/>
    </xf>
    <xf numFmtId="0" fontId="3" fillId="2" borderId="134" xfId="0" applyFont="1" applyFill="1" applyBorder="1" applyAlignment="1">
      <alignment horizontal="center" vertical="center"/>
    </xf>
    <xf numFmtId="0" fontId="3" fillId="2" borderId="133" xfId="0" applyFont="1" applyFill="1" applyBorder="1" applyAlignment="1">
      <alignment horizontal="center" vertical="center"/>
    </xf>
    <xf numFmtId="164" fontId="4" fillId="0" borderId="0" xfId="1" applyNumberFormat="1" applyFont="1" applyAlignment="1" applyProtection="1">
      <alignment horizontal="center"/>
    </xf>
    <xf numFmtId="164" fontId="3" fillId="0" borderId="135" xfId="1" applyNumberFormat="1" applyFont="1" applyBorder="1" applyAlignment="1" applyProtection="1">
      <alignment vertical="center"/>
      <protection locked="0"/>
    </xf>
    <xf numFmtId="164" fontId="3" fillId="0" borderId="134" xfId="1" applyNumberFormat="1" applyFont="1" applyBorder="1" applyAlignment="1" applyProtection="1">
      <alignment vertical="center"/>
      <protection locked="0"/>
    </xf>
    <xf numFmtId="164" fontId="3" fillId="0" borderId="133" xfId="1" applyNumberFormat="1" applyFont="1" applyBorder="1" applyAlignment="1" applyProtection="1">
      <alignment vertical="center"/>
      <protection locked="0"/>
    </xf>
    <xf numFmtId="164" fontId="51" fillId="0" borderId="4" xfId="1" applyNumberFormat="1" applyFont="1" applyBorder="1" applyAlignment="1">
      <alignment horizontal="center" vertical="center"/>
    </xf>
    <xf numFmtId="164" fontId="4" fillId="0" borderId="41" xfId="1" applyNumberFormat="1" applyFont="1" applyBorder="1" applyAlignment="1">
      <alignment horizontal="center"/>
    </xf>
    <xf numFmtId="164" fontId="4" fillId="0" borderId="39" xfId="1" applyNumberFormat="1" applyFont="1" applyBorder="1" applyAlignment="1">
      <alignment horizontal="center"/>
    </xf>
    <xf numFmtId="164" fontId="4" fillId="0" borderId="43" xfId="1" applyNumberFormat="1" applyFont="1" applyBorder="1" applyAlignment="1">
      <alignment horizontal="center"/>
    </xf>
    <xf numFmtId="164" fontId="4" fillId="0" borderId="0" xfId="1" applyNumberFormat="1" applyFont="1" applyBorder="1" applyAlignment="1">
      <alignment horizontal="center"/>
    </xf>
    <xf numFmtId="164" fontId="4" fillId="0" borderId="45" xfId="1" applyNumberFormat="1" applyFont="1" applyBorder="1" applyAlignment="1">
      <alignment horizontal="center"/>
    </xf>
    <xf numFmtId="164" fontId="4" fillId="0" borderId="4" xfId="1" applyNumberFormat="1" applyFont="1" applyBorder="1" applyAlignment="1">
      <alignment horizontal="center"/>
    </xf>
    <xf numFmtId="165" fontId="50" fillId="0" borderId="39" xfId="20" applyFont="1" applyBorder="1" applyAlignment="1">
      <alignment horizontal="center" vertical="center"/>
    </xf>
    <xf numFmtId="165" fontId="50" fillId="0" borderId="42" xfId="20" applyFont="1" applyBorder="1" applyAlignment="1">
      <alignment horizontal="center" vertical="center"/>
    </xf>
    <xf numFmtId="165" fontId="50" fillId="0" borderId="0" xfId="20" applyFont="1" applyBorder="1" applyAlignment="1">
      <alignment horizontal="center" vertical="center"/>
    </xf>
    <xf numFmtId="165" fontId="50" fillId="0" borderId="44" xfId="20" applyFont="1" applyBorder="1" applyAlignment="1">
      <alignment horizontal="center" vertical="center"/>
    </xf>
    <xf numFmtId="165" fontId="11" fillId="0" borderId="4" xfId="20" applyBorder="1" applyAlignment="1">
      <alignment horizontal="center"/>
    </xf>
    <xf numFmtId="165" fontId="11" fillId="0" borderId="46" xfId="20" applyBorder="1" applyAlignment="1">
      <alignment horizontal="center"/>
    </xf>
    <xf numFmtId="165" fontId="11" fillId="0" borderId="39" xfId="20" applyBorder="1" applyAlignment="1">
      <alignment horizontal="center"/>
    </xf>
    <xf numFmtId="165" fontId="4" fillId="0" borderId="0" xfId="20" applyFont="1" applyAlignment="1" applyProtection="1">
      <alignment horizontal="center"/>
    </xf>
    <xf numFmtId="0" fontId="4" fillId="0" borderId="0" xfId="1" applyNumberFormat="1" applyFont="1" applyFill="1" applyAlignment="1" applyProtection="1">
      <alignment horizontal="center"/>
    </xf>
    <xf numFmtId="164" fontId="49" fillId="0" borderId="0" xfId="1" applyNumberFormat="1" applyFont="1" applyFill="1" applyAlignment="1" applyProtection="1">
      <alignment horizontal="left" vertical="center" indent="1"/>
    </xf>
    <xf numFmtId="164" fontId="49" fillId="0" borderId="125" xfId="1" applyNumberFormat="1" applyFont="1" applyFill="1" applyBorder="1" applyAlignment="1" applyProtection="1">
      <alignment horizontal="left" vertical="center" indent="1"/>
    </xf>
    <xf numFmtId="165" fontId="3" fillId="0" borderId="135" xfId="20" applyFont="1" applyBorder="1" applyAlignment="1" applyProtection="1">
      <alignment horizontal="left" vertical="center" indent="1"/>
      <protection locked="0"/>
    </xf>
    <xf numFmtId="165" fontId="3" fillId="0" borderId="134" xfId="20" applyFont="1" applyBorder="1" applyAlignment="1" applyProtection="1">
      <alignment horizontal="left" vertical="center" indent="1"/>
      <protection locked="0"/>
    </xf>
    <xf numFmtId="165" fontId="3" fillId="0" borderId="133" xfId="20" applyFont="1" applyBorder="1" applyAlignment="1" applyProtection="1">
      <alignment horizontal="left" vertical="center" indent="1"/>
      <protection locked="0"/>
    </xf>
    <xf numFmtId="164" fontId="4" fillId="0" borderId="0" xfId="1" applyNumberFormat="1" applyFont="1" applyAlignment="1">
      <alignment horizontal="center"/>
    </xf>
    <xf numFmtId="164" fontId="49" fillId="0" borderId="0" xfId="1" applyNumberFormat="1" applyFont="1" applyFill="1" applyAlignment="1" applyProtection="1">
      <alignment vertical="center"/>
    </xf>
    <xf numFmtId="164" fontId="49" fillId="0" borderId="125" xfId="1" applyNumberFormat="1" applyFont="1" applyFill="1" applyBorder="1" applyAlignment="1" applyProtection="1">
      <alignment vertical="center"/>
    </xf>
    <xf numFmtId="0" fontId="3" fillId="0" borderId="135" xfId="20" applyNumberFormat="1" applyFont="1" applyBorder="1" applyAlignment="1" applyProtection="1">
      <alignment horizontal="left" vertical="center" indent="1"/>
      <protection locked="0"/>
    </xf>
    <xf numFmtId="0" fontId="3" fillId="0" borderId="134" xfId="20" applyNumberFormat="1" applyFont="1" applyBorder="1" applyAlignment="1" applyProtection="1">
      <alignment horizontal="left" vertical="center" indent="1"/>
      <protection locked="0"/>
    </xf>
    <xf numFmtId="0" fontId="3" fillId="0" borderId="133" xfId="20" applyNumberFormat="1" applyFont="1" applyBorder="1" applyAlignment="1" applyProtection="1">
      <alignment horizontal="left" vertical="center" indent="1"/>
      <protection locked="0"/>
    </xf>
    <xf numFmtId="164" fontId="4" fillId="0" borderId="0" xfId="1" applyNumberFormat="1" applyFont="1" applyFill="1" applyBorder="1" applyAlignment="1" applyProtection="1">
      <alignment horizontal="center"/>
    </xf>
    <xf numFmtId="164" fontId="33" fillId="0" borderId="0" xfId="1" applyNumberFormat="1" applyFont="1" applyFill="1" applyBorder="1" applyAlignment="1" applyProtection="1">
      <alignment horizontal="left"/>
    </xf>
    <xf numFmtId="43" fontId="4" fillId="0" borderId="130" xfId="1" applyFont="1" applyFill="1" applyBorder="1" applyAlignment="1" applyProtection="1">
      <alignment horizontal="left" indent="1"/>
    </xf>
    <xf numFmtId="165" fontId="4" fillId="0" borderId="130" xfId="20" applyFont="1" applyBorder="1" applyAlignment="1" applyProtection="1">
      <alignment horizontal="left" indent="1"/>
      <protection locked="0"/>
    </xf>
    <xf numFmtId="165" fontId="4" fillId="0" borderId="130" xfId="20" applyFont="1" applyBorder="1" applyAlignment="1">
      <alignment horizontal="left" indent="1"/>
    </xf>
    <xf numFmtId="164" fontId="4" fillId="0" borderId="0" xfId="1" applyNumberFormat="1" applyFont="1" applyFill="1" applyBorder="1" applyAlignment="1" applyProtection="1">
      <alignment horizontal="right" indent="1"/>
    </xf>
    <xf numFmtId="43" fontId="49" fillId="0" borderId="82" xfId="1" applyFont="1" applyBorder="1" applyAlignment="1" applyProtection="1">
      <alignment horizontal="left"/>
    </xf>
    <xf numFmtId="43" fontId="4" fillId="0" borderId="130" xfId="1" applyFont="1" applyFill="1" applyBorder="1" applyAlignment="1" applyProtection="1">
      <alignment horizontal="left" indent="1"/>
      <protection locked="0"/>
    </xf>
    <xf numFmtId="43" fontId="4" fillId="0" borderId="82" xfId="1" applyFont="1" applyFill="1" applyBorder="1" applyAlignment="1" applyProtection="1">
      <alignment horizontal="left" indent="1"/>
    </xf>
    <xf numFmtId="43" fontId="4" fillId="0" borderId="0" xfId="1" applyFont="1" applyFill="1" applyBorder="1" applyAlignment="1" applyProtection="1">
      <alignment horizontal="right" indent="1"/>
    </xf>
    <xf numFmtId="43" fontId="4" fillId="0" borderId="0" xfId="1" applyFont="1" applyFill="1" applyBorder="1" applyAlignment="1" applyProtection="1">
      <alignment horizontal="left"/>
    </xf>
    <xf numFmtId="165" fontId="4" fillId="0" borderId="120" xfId="20" applyFont="1" applyBorder="1" applyAlignment="1" applyProtection="1">
      <alignment horizontal="left" vertical="top" wrapText="1"/>
      <protection locked="0"/>
    </xf>
    <xf numFmtId="165" fontId="4" fillId="0" borderId="121" xfId="20" applyFont="1" applyBorder="1" applyAlignment="1" applyProtection="1">
      <alignment horizontal="left" vertical="top" wrapText="1"/>
      <protection locked="0"/>
    </xf>
    <xf numFmtId="165" fontId="4" fillId="0" borderId="122" xfId="20" applyFont="1" applyBorder="1" applyAlignment="1" applyProtection="1">
      <alignment horizontal="left" vertical="top" wrapText="1"/>
      <protection locked="0"/>
    </xf>
    <xf numFmtId="164" fontId="4" fillId="0" borderId="128" xfId="1" applyNumberFormat="1" applyFont="1" applyFill="1" applyBorder="1" applyAlignment="1" applyProtection="1">
      <alignment horizontal="center"/>
    </xf>
    <xf numFmtId="165" fontId="11" fillId="0" borderId="0" xfId="20" applyAlignment="1">
      <alignment horizontal="left"/>
    </xf>
    <xf numFmtId="165" fontId="11" fillId="0" borderId="125" xfId="20" applyBorder="1" applyAlignment="1">
      <alignment horizontal="center"/>
    </xf>
    <xf numFmtId="164" fontId="4" fillId="0" borderId="0" xfId="1" applyNumberFormat="1" applyFont="1" applyFill="1" applyAlignment="1" applyProtection="1">
      <alignment horizontal="left" vertical="center" indent="2"/>
      <protection locked="0"/>
    </xf>
    <xf numFmtId="164" fontId="4" fillId="0" borderId="82" xfId="1" applyNumberFormat="1" applyFont="1" applyFill="1" applyBorder="1" applyAlignment="1" applyProtection="1">
      <alignment horizontal="left" vertical="center" indent="2"/>
      <protection locked="0"/>
    </xf>
    <xf numFmtId="175" fontId="4" fillId="0" borderId="0" xfId="1" applyNumberFormat="1" applyFont="1" applyFill="1" applyBorder="1" applyAlignment="1" applyProtection="1">
      <alignment horizontal="center" vertical="center"/>
      <protection locked="0"/>
    </xf>
    <xf numFmtId="175" fontId="4" fillId="0" borderId="82" xfId="1" applyNumberFormat="1" applyFont="1" applyFill="1" applyBorder="1" applyAlignment="1" applyProtection="1">
      <alignment horizontal="center" vertical="center"/>
      <protection locked="0"/>
    </xf>
    <xf numFmtId="164" fontId="4" fillId="2" borderId="82" xfId="1" applyNumberFormat="1" applyFont="1" applyFill="1" applyBorder="1" applyAlignment="1" applyProtection="1">
      <alignment horizontal="left"/>
      <protection locked="0"/>
    </xf>
    <xf numFmtId="164" fontId="49" fillId="0" borderId="128" xfId="1" applyNumberFormat="1" applyFont="1" applyFill="1" applyBorder="1" applyAlignment="1" applyProtection="1">
      <alignment horizontal="left" indent="1"/>
    </xf>
    <xf numFmtId="164" fontId="49" fillId="0" borderId="0" xfId="1" applyNumberFormat="1" applyFont="1" applyFill="1" applyAlignment="1" applyProtection="1">
      <alignment horizontal="center"/>
    </xf>
    <xf numFmtId="165" fontId="11" fillId="0" borderId="0" xfId="20" applyAlignment="1">
      <alignment horizontal="center"/>
    </xf>
    <xf numFmtId="164" fontId="49" fillId="0" borderId="0" xfId="1" applyNumberFormat="1" applyFont="1" applyFill="1" applyBorder="1" applyAlignment="1" applyProtection="1">
      <alignment horizontal="left" indent="1"/>
    </xf>
    <xf numFmtId="164" fontId="49" fillId="0" borderId="128" xfId="1" applyNumberFormat="1" applyFont="1" applyFill="1" applyBorder="1" applyAlignment="1" applyProtection="1">
      <alignment horizontal="center"/>
    </xf>
    <xf numFmtId="164" fontId="49" fillId="0" borderId="0" xfId="1" applyNumberFormat="1" applyFont="1" applyFill="1" applyBorder="1" applyAlignment="1" applyProtection="1">
      <alignment horizontal="center"/>
    </xf>
  </cellXfs>
  <cellStyles count="25">
    <cellStyle name="Comma" xfId="1" builtinId="3"/>
    <cellStyle name="Comma 2" xfId="21"/>
    <cellStyle name="Comma0" xfId="2"/>
    <cellStyle name="Currency" xfId="24" builtinId="4"/>
    <cellStyle name="Currency 2" xfId="14"/>
    <cellStyle name="Currency 3" xfId="15"/>
    <cellStyle name="Currency0" xfId="3"/>
    <cellStyle name="Date" xfId="4"/>
    <cellStyle name="Fixed" xfId="5"/>
    <cellStyle name="Heading 1" xfId="6" builtinId="16" customBuiltin="1"/>
    <cellStyle name="Heading 2" xfId="7" builtinId="17" customBuiltin="1"/>
    <cellStyle name="Hyperlink" xfId="18" builtinId="8"/>
    <cellStyle name="Normal" xfId="0" builtinId="0"/>
    <cellStyle name="Normal 2" xfId="12"/>
    <cellStyle name="Normal 23" xfId="13"/>
    <cellStyle name="Normal 3" xfId="16"/>
    <cellStyle name="Normal 3 2" xfId="17"/>
    <cellStyle name="Normal 4" xfId="19"/>
    <cellStyle name="Normal 5" xfId="20"/>
    <cellStyle name="Normal 6" xfId="23"/>
    <cellStyle name="Normal_FORM2" xfId="8"/>
    <cellStyle name="Normal_FORM3" xfId="9"/>
    <cellStyle name="Normal_Sheet1" xfId="22"/>
    <cellStyle name="Percent" xfId="10" builtinId="5"/>
    <cellStyle name="Total" xfId="11" builtinId="25" customBuiltin="1"/>
  </cellStyles>
  <dxfs count="105">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5" tint="0.79998168889431442"/>
        </patternFill>
      </fill>
    </dxf>
    <dxf>
      <font>
        <b/>
        <i val="0"/>
      </font>
      <fill>
        <patternFill>
          <bgColor theme="5" tint="0.59996337778862885"/>
        </patternFill>
      </fill>
    </dxf>
    <dxf>
      <fill>
        <patternFill>
          <bgColor theme="5" tint="0.79998168889431442"/>
        </patternFill>
      </fill>
    </dxf>
    <dxf>
      <font>
        <b/>
        <i val="0"/>
      </font>
      <fill>
        <patternFill>
          <bgColor theme="5" tint="0.59996337778862885"/>
        </patternFill>
      </fill>
    </dxf>
    <dxf>
      <font>
        <b/>
        <i val="0"/>
        <color rgb="FFFF0000"/>
      </font>
      <fill>
        <patternFill>
          <bgColor rgb="FFFFFF00"/>
        </patternFill>
      </fill>
    </dxf>
    <dxf>
      <fill>
        <patternFill>
          <bgColor theme="5" tint="0.79998168889431442"/>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ill>
        <patternFill>
          <bgColor theme="5" tint="0.79998168889431442"/>
        </patternFill>
      </fill>
    </dxf>
    <dxf>
      <font>
        <b/>
        <i val="0"/>
        <color rgb="FFFF0000"/>
      </font>
      <fill>
        <patternFill>
          <bgColor rgb="FFFFFF00"/>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b/>
        <i val="0"/>
        <color rgb="FFFF0000"/>
      </font>
      <fill>
        <patternFill>
          <bgColor rgb="FFFFFF00"/>
        </patternFill>
      </fill>
    </dxf>
    <dxf>
      <font>
        <b/>
        <i val="0"/>
        <color rgb="FFFF0000"/>
      </font>
      <fill>
        <patternFill>
          <bgColor rgb="FFFFFF00"/>
        </patternFill>
      </fill>
    </dxf>
    <dxf>
      <font>
        <b/>
        <i val="0"/>
      </font>
      <fill>
        <patternFill>
          <bgColor theme="5" tint="0.79998168889431442"/>
        </patternFill>
      </fill>
    </dxf>
    <dxf>
      <font>
        <b/>
        <i val="0"/>
      </font>
      <fill>
        <patternFill>
          <bgColor theme="5" tint="0.79998168889431442"/>
        </patternFill>
      </fill>
    </dxf>
    <dxf>
      <font>
        <b/>
        <i val="0"/>
      </font>
      <fill>
        <patternFill>
          <bgColor theme="5" tint="0.79998168889431442"/>
        </patternFill>
      </fill>
    </dxf>
    <dxf>
      <fill>
        <patternFill>
          <bgColor theme="4" tint="0.59996337778862885"/>
        </patternFill>
      </fill>
    </dxf>
    <dxf>
      <fill>
        <patternFill>
          <bgColor theme="4" tint="0.59996337778862885"/>
        </patternFill>
      </fill>
    </dxf>
    <dxf>
      <fill>
        <patternFill>
          <bgColor theme="4" tint="0.59996337778862885"/>
        </patternFill>
      </fill>
    </dxf>
    <dxf>
      <font>
        <b/>
        <i val="0"/>
      </font>
      <fill>
        <patternFill>
          <bgColor theme="5" tint="0.79998168889431442"/>
        </patternFill>
      </fill>
    </dxf>
    <dxf>
      <font>
        <b/>
        <i val="0"/>
      </font>
      <fill>
        <patternFill>
          <bgColor theme="5" tint="0.79998168889431442"/>
        </patternFill>
      </fill>
    </dxf>
    <dxf>
      <font>
        <b/>
        <i val="0"/>
      </font>
      <fill>
        <patternFill>
          <bgColor theme="5" tint="0.79998168889431442"/>
        </patternFill>
      </fill>
    </dxf>
    <dxf>
      <fill>
        <patternFill>
          <bgColor theme="4" tint="0.59996337778862885"/>
        </patternFill>
      </fill>
    </dxf>
    <dxf>
      <fill>
        <patternFill>
          <bgColor theme="4" tint="0.59996337778862885"/>
        </patternFill>
      </fill>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0" tint="-4.9989318521683403E-2"/>
        </patternFill>
      </fill>
      <border>
        <left style="thin">
          <color auto="1"/>
        </left>
        <right style="thin">
          <color auto="1"/>
        </right>
        <top style="thin">
          <color auto="1"/>
        </top>
        <bottom style="thin">
          <color auto="1"/>
        </bottom>
        <vertical/>
        <horizontal/>
      </border>
    </dxf>
    <dxf>
      <fill>
        <patternFill>
          <bgColor theme="5" tint="0.39994506668294322"/>
        </patternFill>
      </fill>
    </dxf>
    <dxf>
      <font>
        <color auto="1"/>
      </font>
      <fill>
        <patternFill>
          <bgColor theme="3" tint="0.59996337778862885"/>
        </patternFill>
      </fill>
      <border>
        <left style="thin">
          <color auto="1"/>
        </left>
        <right style="thin">
          <color auto="1"/>
        </right>
        <top style="thin">
          <color auto="1"/>
        </top>
        <bottom style="thin">
          <color auto="1"/>
        </bottom>
        <vertical/>
        <horizontal/>
      </border>
    </dxf>
    <dxf>
      <font>
        <color auto="1"/>
      </font>
      <fill>
        <patternFill>
          <bgColor theme="5" tint="0.59996337778862885"/>
        </patternFill>
      </fill>
      <border>
        <left style="thin">
          <color auto="1"/>
        </left>
        <right style="thin">
          <color auto="1"/>
        </right>
        <top style="thin">
          <color auto="1"/>
        </top>
        <bottom style="thin">
          <color auto="1"/>
        </bottom>
        <vertical/>
        <horizontal/>
      </border>
    </dxf>
    <dxf>
      <font>
        <color auto="1"/>
      </font>
      <fill>
        <patternFill>
          <bgColor theme="5" tint="0.59996337778862885"/>
        </patternFill>
      </fill>
      <border>
        <left style="thin">
          <color auto="1"/>
        </left>
        <right style="thin">
          <color auto="1"/>
        </right>
        <top style="thin">
          <color auto="1"/>
        </top>
        <bottom style="thin">
          <color auto="1"/>
        </bottom>
        <vertical/>
        <horizontal/>
      </border>
    </dxf>
    <dxf>
      <font>
        <color theme="0"/>
      </font>
      <fill>
        <patternFill patternType="none">
          <bgColor auto="1"/>
        </patternFill>
      </fill>
      <border>
        <left/>
        <right/>
        <top/>
        <bottom/>
      </border>
    </dxf>
    <dxf>
      <font>
        <color auto="1"/>
      </font>
      <fill>
        <patternFill>
          <bgColor theme="3" tint="0.59996337778862885"/>
        </patternFill>
      </fill>
      <border>
        <left style="thin">
          <color auto="1"/>
        </left>
        <right style="thin">
          <color auto="1"/>
        </right>
        <top style="thin">
          <color auto="1"/>
        </top>
        <bottom style="thin">
          <color auto="1"/>
        </bottom>
        <vertical/>
        <horizontal/>
      </border>
    </dxf>
    <dxf>
      <font>
        <color auto="1"/>
      </font>
      <fill>
        <patternFill>
          <bgColor theme="5" tint="0.59996337778862885"/>
        </patternFill>
      </fill>
      <border>
        <left style="thin">
          <color auto="1"/>
        </left>
        <right style="thin">
          <color auto="1"/>
        </right>
        <top style="thin">
          <color auto="1"/>
        </top>
        <bottom style="thin">
          <color auto="1"/>
        </bottom>
        <vertical/>
        <horizontal/>
      </border>
    </dxf>
    <dxf>
      <font>
        <color auto="1"/>
      </font>
      <fill>
        <patternFill>
          <bgColor theme="5" tint="0.59996337778862885"/>
        </patternFill>
      </fill>
      <border>
        <left style="thin">
          <color auto="1"/>
        </left>
        <right style="thin">
          <color auto="1"/>
        </right>
        <top style="thin">
          <color auto="1"/>
        </top>
        <bottom style="thin">
          <color auto="1"/>
        </bottom>
        <vertical/>
        <horizontal/>
      </border>
    </dxf>
    <dxf>
      <font>
        <color theme="0"/>
      </font>
      <fill>
        <patternFill patternType="none">
          <bgColor auto="1"/>
        </patternFill>
      </fill>
      <border>
        <left/>
        <right/>
        <top/>
        <bottom/>
      </border>
    </dxf>
    <dxf>
      <font>
        <color auto="1"/>
      </font>
      <fill>
        <patternFill>
          <bgColor theme="3" tint="0.59996337778862885"/>
        </patternFill>
      </fill>
      <border>
        <left style="thin">
          <color auto="1"/>
        </left>
        <right style="thin">
          <color auto="1"/>
        </right>
        <top style="thin">
          <color auto="1"/>
        </top>
        <bottom style="thin">
          <color auto="1"/>
        </bottom>
        <vertical/>
        <horizontal/>
      </border>
    </dxf>
    <dxf>
      <font>
        <color auto="1"/>
      </font>
      <fill>
        <patternFill>
          <bgColor theme="5" tint="0.59996337778862885"/>
        </patternFill>
      </fill>
      <border>
        <left style="thin">
          <color auto="1"/>
        </left>
        <right style="thin">
          <color auto="1"/>
        </right>
        <top style="thin">
          <color auto="1"/>
        </top>
        <bottom style="thin">
          <color auto="1"/>
        </bottom>
        <vertical/>
        <horizontal/>
      </border>
    </dxf>
    <dxf>
      <font>
        <color auto="1"/>
      </font>
      <fill>
        <patternFill>
          <bgColor theme="5" tint="0.59996337778862885"/>
        </patternFill>
      </fill>
      <border>
        <left style="thin">
          <color auto="1"/>
        </left>
        <right style="thin">
          <color auto="1"/>
        </right>
        <top style="thin">
          <color auto="1"/>
        </top>
        <bottom style="thin">
          <color auto="1"/>
        </bottom>
        <vertical/>
        <horizontal/>
      </border>
    </dxf>
    <dxf>
      <font>
        <color theme="0"/>
      </font>
      <fill>
        <patternFill patternType="none">
          <bgColor auto="1"/>
        </patternFill>
      </fill>
      <border>
        <left style="thin">
          <color auto="1"/>
        </left>
        <right/>
        <top/>
        <bottom/>
      </border>
    </dxf>
    <dxf>
      <font>
        <color auto="1"/>
      </font>
      <fill>
        <patternFill>
          <bgColor theme="3" tint="0.59996337778862885"/>
        </patternFill>
      </fill>
      <border>
        <left style="thin">
          <color auto="1"/>
        </left>
        <right style="thin">
          <color auto="1"/>
        </right>
        <top style="thin">
          <color auto="1"/>
        </top>
        <bottom style="thin">
          <color auto="1"/>
        </bottom>
        <vertical/>
        <horizontal/>
      </border>
    </dxf>
    <dxf>
      <font>
        <color auto="1"/>
      </font>
      <fill>
        <patternFill>
          <bgColor theme="5" tint="0.59996337778862885"/>
        </patternFill>
      </fill>
      <border>
        <left style="thin">
          <color auto="1"/>
        </left>
        <right style="thin">
          <color auto="1"/>
        </right>
        <top style="thin">
          <color auto="1"/>
        </top>
        <bottom style="thin">
          <color auto="1"/>
        </bottom>
        <vertical/>
        <horizontal/>
      </border>
    </dxf>
    <dxf>
      <font>
        <color auto="1"/>
      </font>
      <fill>
        <patternFill>
          <bgColor theme="5" tint="0.59996337778862885"/>
        </patternFill>
      </fill>
      <border>
        <left style="thin">
          <color auto="1"/>
        </left>
        <right style="thin">
          <color auto="1"/>
        </right>
        <top style="thin">
          <color auto="1"/>
        </top>
        <bottom style="thin">
          <color auto="1"/>
        </bottom>
        <vertical/>
        <horizontal/>
      </border>
    </dxf>
    <dxf>
      <font>
        <color theme="0"/>
      </font>
      <fill>
        <patternFill patternType="none">
          <bgColor auto="1"/>
        </patternFill>
      </fill>
      <border>
        <left style="thin">
          <color auto="1"/>
        </left>
        <right/>
        <top/>
        <bottom/>
      </border>
    </dxf>
    <dxf>
      <font>
        <color auto="1"/>
      </font>
      <fill>
        <patternFill>
          <bgColor theme="3" tint="0.59996337778862885"/>
        </patternFill>
      </fill>
      <border>
        <left style="thin">
          <color auto="1"/>
        </left>
        <right style="thin">
          <color auto="1"/>
        </right>
        <top style="thin">
          <color auto="1"/>
        </top>
        <bottom style="thin">
          <color auto="1"/>
        </bottom>
        <vertical/>
        <horizontal/>
      </border>
    </dxf>
    <dxf>
      <font>
        <color auto="1"/>
      </font>
      <fill>
        <patternFill>
          <bgColor theme="5" tint="0.59996337778862885"/>
        </patternFill>
      </fill>
      <border>
        <left style="thin">
          <color auto="1"/>
        </left>
        <right style="thin">
          <color auto="1"/>
        </right>
        <top style="thin">
          <color auto="1"/>
        </top>
        <bottom style="thin">
          <color auto="1"/>
        </bottom>
        <vertical/>
        <horizontal/>
      </border>
    </dxf>
    <dxf>
      <font>
        <color auto="1"/>
      </font>
      <fill>
        <patternFill>
          <bgColor theme="5" tint="0.59996337778862885"/>
        </patternFill>
      </fill>
      <border>
        <left style="thin">
          <color auto="1"/>
        </left>
        <right style="thin">
          <color auto="1"/>
        </right>
        <top style="thin">
          <color auto="1"/>
        </top>
        <bottom style="thin">
          <color auto="1"/>
        </bottom>
        <vertical/>
        <horizontal/>
      </border>
    </dxf>
    <dxf>
      <font>
        <color theme="0"/>
      </font>
      <fill>
        <patternFill patternType="none">
          <bgColor auto="1"/>
        </patternFill>
      </fill>
      <border>
        <left style="thin">
          <color auto="1"/>
        </left>
        <right/>
        <top/>
        <bottom/>
      </border>
    </dxf>
    <dxf>
      <font>
        <color auto="1"/>
      </font>
      <fill>
        <patternFill>
          <bgColor theme="3" tint="0.59996337778862885"/>
        </patternFill>
      </fill>
      <border>
        <left style="thin">
          <color auto="1"/>
        </left>
        <right style="thin">
          <color auto="1"/>
        </right>
        <top style="thin">
          <color auto="1"/>
        </top>
        <bottom style="thin">
          <color auto="1"/>
        </bottom>
        <vertical/>
        <horizontal/>
      </border>
    </dxf>
    <dxf>
      <font>
        <color auto="1"/>
      </font>
      <fill>
        <patternFill>
          <bgColor theme="5" tint="0.59996337778862885"/>
        </patternFill>
      </fill>
      <border>
        <left style="thin">
          <color auto="1"/>
        </left>
        <right style="thin">
          <color auto="1"/>
        </right>
        <top style="thin">
          <color auto="1"/>
        </top>
        <bottom style="thin">
          <color auto="1"/>
        </bottom>
        <vertical/>
        <horizontal/>
      </border>
    </dxf>
    <dxf>
      <font>
        <color auto="1"/>
      </font>
      <fill>
        <patternFill>
          <bgColor theme="5" tint="0.59996337778862885"/>
        </patternFill>
      </fill>
      <border>
        <left style="thin">
          <color auto="1"/>
        </left>
        <right style="thin">
          <color auto="1"/>
        </right>
        <top style="thin">
          <color auto="1"/>
        </top>
        <bottom style="thin">
          <color auto="1"/>
        </bottom>
        <vertical/>
        <horizontal/>
      </border>
    </dxf>
    <dxf>
      <font>
        <color theme="0"/>
      </font>
      <fill>
        <patternFill patternType="none">
          <bgColor auto="1"/>
        </patternFill>
      </fill>
      <border>
        <left style="thin">
          <color auto="1"/>
        </left>
        <right/>
        <top/>
        <bottom/>
      </border>
    </dxf>
    <dxf>
      <font>
        <color auto="1"/>
      </font>
      <fill>
        <patternFill>
          <bgColor theme="3" tint="0.59996337778862885"/>
        </patternFill>
      </fill>
      <border>
        <left style="thin">
          <color auto="1"/>
        </left>
        <right style="thin">
          <color auto="1"/>
        </right>
        <top style="thin">
          <color auto="1"/>
        </top>
        <bottom style="thin">
          <color auto="1"/>
        </bottom>
        <vertical/>
        <horizontal/>
      </border>
    </dxf>
    <dxf>
      <font>
        <color auto="1"/>
      </font>
      <fill>
        <patternFill>
          <bgColor theme="5" tint="0.59996337778862885"/>
        </patternFill>
      </fill>
      <border>
        <left style="thin">
          <color auto="1"/>
        </left>
        <right style="thin">
          <color auto="1"/>
        </right>
        <top style="thin">
          <color auto="1"/>
        </top>
        <bottom style="thin">
          <color auto="1"/>
        </bottom>
        <vertical/>
        <horizontal/>
      </border>
    </dxf>
    <dxf>
      <font>
        <color auto="1"/>
      </font>
      <fill>
        <patternFill>
          <bgColor theme="5" tint="0.59996337778862885"/>
        </patternFill>
      </fill>
      <border>
        <left style="thin">
          <color auto="1"/>
        </left>
        <right style="thin">
          <color auto="1"/>
        </right>
        <top style="thin">
          <color auto="1"/>
        </top>
        <bottom style="thin">
          <color auto="1"/>
        </bottom>
        <vertical/>
        <horizontal/>
      </border>
    </dxf>
    <dxf>
      <font>
        <color theme="0"/>
      </font>
      <fill>
        <patternFill patternType="none">
          <bgColor auto="1"/>
        </patternFill>
      </fill>
      <border>
        <left/>
        <right/>
        <top/>
        <bottom/>
      </border>
    </dxf>
    <dxf>
      <font>
        <color auto="1"/>
      </font>
      <fill>
        <patternFill>
          <bgColor theme="3" tint="0.59996337778862885"/>
        </patternFill>
      </fill>
      <border>
        <left style="thin">
          <color auto="1"/>
        </left>
        <right style="thin">
          <color auto="1"/>
        </right>
        <top style="thin">
          <color auto="1"/>
        </top>
        <bottom style="thin">
          <color auto="1"/>
        </bottom>
        <vertical/>
        <horizontal/>
      </border>
    </dxf>
    <dxf>
      <font>
        <color auto="1"/>
      </font>
      <fill>
        <patternFill>
          <bgColor theme="5" tint="0.59996337778862885"/>
        </patternFill>
      </fill>
      <border>
        <left style="thin">
          <color auto="1"/>
        </left>
        <right style="thin">
          <color auto="1"/>
        </right>
        <top style="thin">
          <color auto="1"/>
        </top>
        <bottom style="thin">
          <color auto="1"/>
        </bottom>
        <vertical/>
        <horizontal/>
      </border>
    </dxf>
    <dxf>
      <font>
        <color auto="1"/>
      </font>
      <fill>
        <patternFill>
          <bgColor theme="5" tint="0.59996337778862885"/>
        </patternFill>
      </fill>
      <border>
        <left style="thin">
          <color auto="1"/>
        </left>
        <right style="thin">
          <color auto="1"/>
        </right>
        <top style="thin">
          <color auto="1"/>
        </top>
        <bottom style="thin">
          <color auto="1"/>
        </bottom>
        <vertical/>
        <horizontal/>
      </border>
    </dxf>
    <dxf>
      <font>
        <color theme="0"/>
      </font>
      <fill>
        <patternFill patternType="none">
          <bgColor auto="1"/>
        </patternFill>
      </fill>
      <border>
        <left style="thin">
          <color auto="1"/>
        </left>
        <right/>
        <top/>
        <bottom/>
      </border>
    </dxf>
    <dxf>
      <font>
        <color auto="1"/>
      </font>
      <fill>
        <patternFill>
          <bgColor theme="3" tint="0.59996337778862885"/>
        </patternFill>
      </fill>
      <border>
        <left style="thin">
          <color auto="1"/>
        </left>
        <right style="thin">
          <color auto="1"/>
        </right>
        <top style="thin">
          <color auto="1"/>
        </top>
        <bottom style="thin">
          <color auto="1"/>
        </bottom>
        <vertical/>
        <horizontal/>
      </border>
    </dxf>
    <dxf>
      <font>
        <color auto="1"/>
      </font>
      <fill>
        <patternFill>
          <bgColor theme="5" tint="0.59996337778862885"/>
        </patternFill>
      </fill>
      <border>
        <left style="thin">
          <color auto="1"/>
        </left>
        <right style="thin">
          <color auto="1"/>
        </right>
        <top style="thin">
          <color auto="1"/>
        </top>
        <bottom style="thin">
          <color auto="1"/>
        </bottom>
        <vertical/>
        <horizontal/>
      </border>
    </dxf>
    <dxf>
      <font>
        <color auto="1"/>
      </font>
      <fill>
        <patternFill>
          <bgColor theme="5" tint="0.59996337778862885"/>
        </patternFill>
      </fill>
      <border>
        <left style="thin">
          <color auto="1"/>
        </left>
        <right style="thin">
          <color auto="1"/>
        </right>
        <top style="thin">
          <color auto="1"/>
        </top>
        <bottom style="thin">
          <color auto="1"/>
        </bottom>
        <vertical/>
        <horizontal/>
      </border>
    </dxf>
    <dxf>
      <font>
        <color theme="0"/>
      </font>
      <fill>
        <patternFill patternType="none">
          <bgColor auto="1"/>
        </patternFill>
      </fill>
      <border>
        <left style="thin">
          <color auto="1"/>
        </left>
        <right/>
        <top/>
        <bottom/>
      </border>
    </dxf>
    <dxf>
      <font>
        <color auto="1"/>
      </font>
      <fill>
        <patternFill>
          <bgColor theme="3" tint="0.59996337778862885"/>
        </patternFill>
      </fill>
      <border>
        <left style="thin">
          <color auto="1"/>
        </left>
        <right style="thin">
          <color auto="1"/>
        </right>
        <top style="thin">
          <color auto="1"/>
        </top>
        <bottom style="thin">
          <color auto="1"/>
        </bottom>
        <vertical/>
        <horizontal/>
      </border>
    </dxf>
    <dxf>
      <font>
        <color auto="1"/>
      </font>
      <fill>
        <patternFill>
          <bgColor theme="5" tint="0.59996337778862885"/>
        </patternFill>
      </fill>
      <border>
        <left style="thin">
          <color auto="1"/>
        </left>
        <right style="thin">
          <color auto="1"/>
        </right>
        <top style="thin">
          <color auto="1"/>
        </top>
        <bottom style="thin">
          <color auto="1"/>
        </bottom>
        <vertical/>
        <horizontal/>
      </border>
    </dxf>
    <dxf>
      <font>
        <color auto="1"/>
      </font>
      <fill>
        <patternFill>
          <bgColor theme="5" tint="0.59996337778862885"/>
        </patternFill>
      </fill>
      <border>
        <left style="thin">
          <color auto="1"/>
        </left>
        <right style="thin">
          <color auto="1"/>
        </right>
        <top style="thin">
          <color auto="1"/>
        </top>
        <bottom style="thin">
          <color auto="1"/>
        </bottom>
        <vertical/>
        <horizontal/>
      </border>
    </dxf>
    <dxf>
      <font>
        <color theme="0"/>
      </font>
      <fill>
        <patternFill patternType="none">
          <bgColor auto="1"/>
        </patternFill>
      </fill>
      <border>
        <left/>
        <right/>
        <top/>
        <bottom/>
      </border>
    </dxf>
    <dxf>
      <font>
        <color auto="1"/>
      </font>
      <fill>
        <patternFill>
          <bgColor theme="3" tint="0.59996337778862885"/>
        </patternFill>
      </fill>
      <border>
        <left style="thin">
          <color auto="1"/>
        </left>
        <right style="thin">
          <color auto="1"/>
        </right>
        <top style="thin">
          <color auto="1"/>
        </top>
        <bottom style="thin">
          <color auto="1"/>
        </bottom>
        <vertical/>
        <horizontal/>
      </border>
    </dxf>
    <dxf>
      <font>
        <color auto="1"/>
      </font>
      <fill>
        <patternFill>
          <bgColor theme="5" tint="0.59996337778862885"/>
        </patternFill>
      </fill>
      <border>
        <left style="thin">
          <color auto="1"/>
        </left>
        <right style="thin">
          <color auto="1"/>
        </right>
        <top style="thin">
          <color auto="1"/>
        </top>
        <bottom style="thin">
          <color auto="1"/>
        </bottom>
        <vertical/>
        <horizontal/>
      </border>
    </dxf>
    <dxf>
      <font>
        <color auto="1"/>
      </font>
      <fill>
        <patternFill>
          <bgColor theme="5" tint="0.59996337778862885"/>
        </patternFill>
      </fill>
      <border>
        <left style="thin">
          <color auto="1"/>
        </left>
        <right style="thin">
          <color auto="1"/>
        </right>
        <top style="thin">
          <color auto="1"/>
        </top>
        <bottom style="thin">
          <color auto="1"/>
        </bottom>
        <vertical/>
        <horizontal/>
      </border>
    </dxf>
    <dxf>
      <font>
        <color theme="0"/>
      </font>
      <fill>
        <patternFill patternType="none">
          <bgColor auto="1"/>
        </patternFill>
      </fill>
      <border>
        <left/>
        <right/>
        <top/>
        <bottom/>
      </border>
    </dxf>
    <dxf>
      <font>
        <color auto="1"/>
      </font>
      <fill>
        <patternFill>
          <bgColor theme="3" tint="0.59996337778862885"/>
        </patternFill>
      </fill>
      <border>
        <left style="thin">
          <color auto="1"/>
        </left>
        <right style="thin">
          <color auto="1"/>
        </right>
        <top style="thin">
          <color auto="1"/>
        </top>
        <bottom style="thin">
          <color auto="1"/>
        </bottom>
        <vertical/>
        <horizontal/>
      </border>
    </dxf>
    <dxf>
      <font>
        <color auto="1"/>
      </font>
      <fill>
        <patternFill>
          <bgColor theme="5" tint="0.59996337778862885"/>
        </patternFill>
      </fill>
      <border>
        <left style="thin">
          <color auto="1"/>
        </left>
        <right style="thin">
          <color auto="1"/>
        </right>
        <top style="thin">
          <color auto="1"/>
        </top>
        <bottom style="thin">
          <color auto="1"/>
        </bottom>
        <vertical/>
        <horizontal/>
      </border>
    </dxf>
    <dxf>
      <font>
        <color auto="1"/>
      </font>
      <fill>
        <patternFill>
          <bgColor theme="5" tint="0.59996337778862885"/>
        </patternFill>
      </fill>
      <border>
        <left style="thin">
          <color auto="1"/>
        </left>
        <right style="thin">
          <color auto="1"/>
        </right>
        <top style="thin">
          <color auto="1"/>
        </top>
        <bottom style="thin">
          <color auto="1"/>
        </bottom>
        <vertical/>
        <horizontal/>
      </border>
    </dxf>
    <dxf>
      <font>
        <color theme="0"/>
      </font>
      <fill>
        <patternFill patternType="none">
          <bgColor auto="1"/>
        </patternFill>
      </fill>
      <border>
        <left style="thin">
          <color auto="1"/>
        </left>
        <right/>
        <top/>
        <bottom/>
      </border>
    </dxf>
    <dxf>
      <font>
        <color auto="1"/>
      </font>
      <fill>
        <patternFill>
          <bgColor theme="3" tint="0.59996337778862885"/>
        </patternFill>
      </fill>
      <border>
        <left style="thin">
          <color auto="1"/>
        </left>
        <right style="thin">
          <color auto="1"/>
        </right>
        <top style="thin">
          <color auto="1"/>
        </top>
        <bottom style="thin">
          <color auto="1"/>
        </bottom>
        <vertical/>
        <horizontal/>
      </border>
    </dxf>
    <dxf>
      <font>
        <color auto="1"/>
      </font>
      <fill>
        <patternFill>
          <bgColor theme="5" tint="0.59996337778862885"/>
        </patternFill>
      </fill>
      <border>
        <left style="thin">
          <color auto="1"/>
        </left>
        <right style="thin">
          <color auto="1"/>
        </right>
        <top style="thin">
          <color auto="1"/>
        </top>
        <bottom style="thin">
          <color auto="1"/>
        </bottom>
        <vertical/>
        <horizontal/>
      </border>
    </dxf>
    <dxf>
      <font>
        <color auto="1"/>
      </font>
      <fill>
        <patternFill>
          <bgColor theme="5" tint="0.59996337778862885"/>
        </patternFill>
      </fill>
      <border>
        <left style="thin">
          <color auto="1"/>
        </left>
        <right style="thin">
          <color auto="1"/>
        </right>
        <top style="thin">
          <color auto="1"/>
        </top>
        <bottom style="thin">
          <color auto="1"/>
        </bottom>
        <vertical/>
        <horizontal/>
      </border>
    </dxf>
    <dxf>
      <font>
        <color theme="0"/>
      </font>
      <fill>
        <patternFill patternType="none">
          <bgColor auto="1"/>
        </patternFill>
      </fill>
      <border>
        <left/>
        <right/>
        <top/>
        <bottom/>
      </border>
    </dxf>
    <dxf>
      <font>
        <color auto="1"/>
      </font>
      <fill>
        <patternFill>
          <bgColor theme="3" tint="0.59996337778862885"/>
        </patternFill>
      </fill>
      <border>
        <left style="thin">
          <color auto="1"/>
        </left>
        <right style="thin">
          <color auto="1"/>
        </right>
        <top style="thin">
          <color auto="1"/>
        </top>
        <bottom style="thin">
          <color auto="1"/>
        </bottom>
        <vertical/>
        <horizontal/>
      </border>
    </dxf>
    <dxf>
      <font>
        <color auto="1"/>
      </font>
      <fill>
        <patternFill>
          <bgColor theme="5" tint="0.59996337778862885"/>
        </patternFill>
      </fill>
      <border>
        <left style="thin">
          <color auto="1"/>
        </left>
        <right style="thin">
          <color auto="1"/>
        </right>
        <top style="thin">
          <color auto="1"/>
        </top>
        <bottom style="thin">
          <color auto="1"/>
        </bottom>
        <vertical/>
        <horizontal/>
      </border>
    </dxf>
    <dxf>
      <font>
        <color auto="1"/>
      </font>
      <fill>
        <patternFill>
          <bgColor theme="5" tint="0.59996337778862885"/>
        </patternFill>
      </fill>
      <border>
        <left style="thin">
          <color auto="1"/>
        </left>
        <right style="thin">
          <color auto="1"/>
        </right>
        <top style="thin">
          <color auto="1"/>
        </top>
        <bottom style="thin">
          <color auto="1"/>
        </bottom>
        <vertical/>
        <horizontal/>
      </border>
    </dxf>
    <dxf>
      <font>
        <color theme="0"/>
      </font>
      <fill>
        <patternFill patternType="none">
          <bgColor auto="1"/>
        </patternFill>
      </fill>
      <border>
        <left style="thin">
          <color auto="1"/>
        </left>
        <right/>
        <top/>
        <bottom/>
      </border>
    </dxf>
    <dxf>
      <font>
        <color auto="1"/>
      </font>
      <fill>
        <patternFill>
          <bgColor theme="3" tint="0.59996337778862885"/>
        </patternFill>
      </fill>
      <border>
        <left style="thin">
          <color auto="1"/>
        </left>
        <right style="thin">
          <color auto="1"/>
        </right>
        <top style="thin">
          <color auto="1"/>
        </top>
        <bottom style="thin">
          <color auto="1"/>
        </bottom>
        <vertical/>
        <horizontal/>
      </border>
    </dxf>
    <dxf>
      <font>
        <color auto="1"/>
      </font>
      <fill>
        <patternFill>
          <bgColor theme="5" tint="0.59996337778862885"/>
        </patternFill>
      </fill>
      <border>
        <left style="thin">
          <color auto="1"/>
        </left>
        <right style="thin">
          <color auto="1"/>
        </right>
        <top style="thin">
          <color auto="1"/>
        </top>
        <bottom style="thin">
          <color auto="1"/>
        </bottom>
        <vertical/>
        <horizontal/>
      </border>
    </dxf>
    <dxf>
      <font>
        <color auto="1"/>
      </font>
      <fill>
        <patternFill>
          <bgColor theme="5" tint="0.59996337778862885"/>
        </patternFill>
      </fill>
      <border>
        <left style="thin">
          <color auto="1"/>
        </left>
        <right style="thin">
          <color auto="1"/>
        </right>
        <top style="thin">
          <color auto="1"/>
        </top>
        <bottom style="thin">
          <color auto="1"/>
        </bottom>
        <vertical/>
        <horizontal/>
      </border>
    </dxf>
    <dxf>
      <font>
        <color theme="0"/>
      </font>
      <fill>
        <patternFill patternType="none">
          <bgColor auto="1"/>
        </patternFill>
      </fill>
      <border>
        <left style="thin">
          <color auto="1"/>
        </left>
        <right/>
        <top/>
        <bottom/>
      </border>
    </dxf>
    <dxf>
      <font>
        <color auto="1"/>
      </font>
      <fill>
        <patternFill>
          <bgColor theme="3" tint="0.59996337778862885"/>
        </patternFill>
      </fill>
      <border>
        <left style="thin">
          <color auto="1"/>
        </left>
        <right style="thin">
          <color auto="1"/>
        </right>
        <top style="thin">
          <color auto="1"/>
        </top>
        <bottom style="thin">
          <color auto="1"/>
        </bottom>
        <vertical/>
        <horizontal/>
      </border>
    </dxf>
    <dxf>
      <font>
        <color auto="1"/>
      </font>
      <fill>
        <patternFill>
          <bgColor theme="5" tint="0.59996337778862885"/>
        </patternFill>
      </fill>
      <border>
        <left style="thin">
          <color auto="1"/>
        </left>
        <right style="thin">
          <color auto="1"/>
        </right>
        <top style="thin">
          <color auto="1"/>
        </top>
        <bottom style="thin">
          <color auto="1"/>
        </bottom>
        <vertical/>
        <horizontal/>
      </border>
    </dxf>
    <dxf>
      <font>
        <color auto="1"/>
      </font>
      <fill>
        <patternFill>
          <bgColor theme="5" tint="0.59996337778862885"/>
        </patternFill>
      </fill>
      <border>
        <left style="thin">
          <color auto="1"/>
        </left>
        <right style="thin">
          <color auto="1"/>
        </right>
        <top style="thin">
          <color auto="1"/>
        </top>
        <bottom style="thin">
          <color auto="1"/>
        </bottom>
        <vertical/>
        <horizontal/>
      </border>
    </dxf>
    <dxf>
      <font>
        <color theme="0"/>
      </font>
      <fill>
        <patternFill patternType="none">
          <bgColor auto="1"/>
        </patternFill>
      </fill>
      <border>
        <left style="thin">
          <color auto="1"/>
        </left>
        <right/>
        <top/>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A6CAF0"/>
      <color rgb="FFFFFF99"/>
      <color rgb="FF0000FF"/>
      <color rgb="FFFFCCCC"/>
      <color rgb="FFCCFFCC"/>
      <color rgb="FFE7F2AE"/>
      <color rgb="FFFFFFCC"/>
      <color rgb="FFE3E3E3"/>
      <color rgb="FF99CCFF"/>
      <color rgb="FFF3EB8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53</xdr:col>
          <xdr:colOff>0</xdr:colOff>
          <xdr:row>358</xdr:row>
          <xdr:rowOff>142875</xdr:rowOff>
        </xdr:from>
        <xdr:to>
          <xdr:col>54</xdr:col>
          <xdr:colOff>285750</xdr:colOff>
          <xdr:row>361</xdr:row>
          <xdr:rowOff>142875</xdr:rowOff>
        </xdr:to>
        <xdr:sp macro="" textlink="">
          <xdr:nvSpPr>
            <xdr:cNvPr id="16387" name="Object 3" hidden="1">
              <a:extLst>
                <a:ext uri="{63B3BB69-23CF-44E3-9099-C40C66FF867C}">
                  <a14:compatExt spid="_x0000_s1638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600075</xdr:colOff>
          <xdr:row>366</xdr:row>
          <xdr:rowOff>0</xdr:rowOff>
        </xdr:from>
        <xdr:to>
          <xdr:col>54</xdr:col>
          <xdr:colOff>276225</xdr:colOff>
          <xdr:row>372</xdr:row>
          <xdr:rowOff>57150</xdr:rowOff>
        </xdr:to>
        <xdr:sp macro="" textlink="">
          <xdr:nvSpPr>
            <xdr:cNvPr id="16388" name="Object 4" hidden="1">
              <a:extLst>
                <a:ext uri="{63B3BB69-23CF-44E3-9099-C40C66FF867C}">
                  <a14:compatExt spid="_x0000_s16388"/>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0</xdr:colOff>
          <xdr:row>358</xdr:row>
          <xdr:rowOff>0</xdr:rowOff>
        </xdr:from>
        <xdr:to>
          <xdr:col>54</xdr:col>
          <xdr:colOff>304800</xdr:colOff>
          <xdr:row>360</xdr:row>
          <xdr:rowOff>323850</xdr:rowOff>
        </xdr:to>
        <xdr:sp macro="" textlink="">
          <xdr:nvSpPr>
            <xdr:cNvPr id="16389" name="Object 5" hidden="1">
              <a:extLst>
                <a:ext uri="{63B3BB69-23CF-44E3-9099-C40C66FF867C}">
                  <a14:compatExt spid="_x0000_s1638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600075</xdr:colOff>
          <xdr:row>358</xdr:row>
          <xdr:rowOff>0</xdr:rowOff>
        </xdr:from>
        <xdr:to>
          <xdr:col>54</xdr:col>
          <xdr:colOff>276225</xdr:colOff>
          <xdr:row>361</xdr:row>
          <xdr:rowOff>0</xdr:rowOff>
        </xdr:to>
        <xdr:sp macro="" textlink="">
          <xdr:nvSpPr>
            <xdr:cNvPr id="16390" name="Object 6" hidden="1">
              <a:extLst>
                <a:ext uri="{63B3BB69-23CF-44E3-9099-C40C66FF867C}">
                  <a14:compatExt spid="_x0000_s1639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23</xdr:col>
          <xdr:colOff>171450</xdr:colOff>
          <xdr:row>4</xdr:row>
          <xdr:rowOff>85725</xdr:rowOff>
        </xdr:from>
        <xdr:to>
          <xdr:col>24</xdr:col>
          <xdr:colOff>476250</xdr:colOff>
          <xdr:row>7</xdr:row>
          <xdr:rowOff>285750</xdr:rowOff>
        </xdr:to>
        <xdr:sp macro="" textlink="">
          <xdr:nvSpPr>
            <xdr:cNvPr id="17412" name="Object 4" hidden="1">
              <a:extLst>
                <a:ext uri="{63B3BB69-23CF-44E3-9099-C40C66FF867C}">
                  <a14:compatExt spid="_x0000_s1741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5</xdr:col>
      <xdr:colOff>0</xdr:colOff>
      <xdr:row>766</xdr:row>
      <xdr:rowOff>0</xdr:rowOff>
    </xdr:from>
    <xdr:to>
      <xdr:col>5</xdr:col>
      <xdr:colOff>9525</xdr:colOff>
      <xdr:row>766</xdr:row>
      <xdr:rowOff>9525</xdr:rowOff>
    </xdr:to>
    <xdr:pic>
      <xdr:nvPicPr>
        <xdr:cNvPr id="2" name="Picture 1" descr="https://www.myworkdaycdn.com/wday/uiclient/static/gwt-desktop/2020.03.014/update/WorkdayApp/8CB9E57BEDDE62E4F67DEB6E19F5308C.cache.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19375" y="124358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85725</xdr:colOff>
      <xdr:row>2</xdr:row>
      <xdr:rowOff>9525</xdr:rowOff>
    </xdr:from>
    <xdr:to>
      <xdr:col>5</xdr:col>
      <xdr:colOff>428625</xdr:colOff>
      <xdr:row>4</xdr:row>
      <xdr:rowOff>47625</xdr:rowOff>
    </xdr:to>
    <xdr:pic>
      <xdr:nvPicPr>
        <xdr:cNvPr id="2" name="Picture 1" descr="redlogo"/>
        <xdr:cNvPicPr>
          <a:picLocks noChangeAspect="1" noChangeArrowheads="1"/>
        </xdr:cNvPicPr>
      </xdr:nvPicPr>
      <xdr:blipFill>
        <a:blip xmlns:r="http://schemas.openxmlformats.org/officeDocument/2006/relationships" r:embed="rId1" cstate="print"/>
        <a:srcRect/>
        <a:stretch>
          <a:fillRect/>
        </a:stretch>
      </xdr:blipFill>
      <xdr:spPr bwMode="auto">
        <a:xfrm>
          <a:off x="748665" y="329565"/>
          <a:ext cx="2994660" cy="35814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8" Type="http://schemas.openxmlformats.org/officeDocument/2006/relationships/oleObject" Target="../embeddings/oleObject3.bin"/><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7.bin"/><Relationship Id="rId6" Type="http://schemas.openxmlformats.org/officeDocument/2006/relationships/oleObject" Target="../embeddings/oleObject2.bin"/><Relationship Id="rId5" Type="http://schemas.openxmlformats.org/officeDocument/2006/relationships/image" Target="../media/image1.emf"/><Relationship Id="rId4" Type="http://schemas.openxmlformats.org/officeDocument/2006/relationships/oleObject" Target="../embeddings/oleObject1.bin"/><Relationship Id="rId9" Type="http://schemas.openxmlformats.org/officeDocument/2006/relationships/oleObject" Target="../embeddings/oleObject4.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externalLinkPath" Target="http://budget.unlv.edu/Budget/COMMON/Selfsupport/FY13/Forms/FY13%20Self%20Supporting%20Budget%20Form%20%5bTEN%5d.xlsx" TargetMode="External"/></Relationships>
</file>

<file path=xl/worksheets/_rels/sheet20.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8.bin"/><Relationship Id="rId1" Type="http://schemas.openxmlformats.org/officeDocument/2006/relationships/hyperlink" Target="http://hr.nv.gov/Sections/Compensation/2019/COMPENSATION_SCHEDULES,_JULY_15,_2019/" TargetMode="External"/><Relationship Id="rId6" Type="http://schemas.openxmlformats.org/officeDocument/2006/relationships/image" Target="../media/image3.emf"/><Relationship Id="rId5" Type="http://schemas.openxmlformats.org/officeDocument/2006/relationships/oleObject" Target="../embeddings/oleObject5.bin"/><Relationship Id="rId4" Type="http://schemas.openxmlformats.org/officeDocument/2006/relationships/vmlDrawing" Target="../drawings/vmlDrawing2.v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57"/>
  <sheetViews>
    <sheetView workbookViewId="0">
      <pane xSplit="1" ySplit="3" topLeftCell="B4" activePane="bottomRight" state="frozen"/>
      <selection pane="topRight" activeCell="B1" sqref="B1"/>
      <selection pane="bottomLeft" activeCell="A4" sqref="A4"/>
      <selection pane="bottomRight" activeCell="B9" sqref="B9:B12"/>
    </sheetView>
  </sheetViews>
  <sheetFormatPr defaultRowHeight="12.75" x14ac:dyDescent="0.2"/>
  <cols>
    <col min="1" max="1" width="10.140625" bestFit="1" customWidth="1"/>
    <col min="2" max="2" width="27.42578125" style="167" bestFit="1" customWidth="1"/>
    <col min="3" max="3" width="3.140625" bestFit="1" customWidth="1"/>
    <col min="4" max="4" width="97" customWidth="1"/>
    <col min="5" max="5" width="15.85546875" style="320" bestFit="1" customWidth="1"/>
    <col min="6" max="8" width="26.7109375" customWidth="1"/>
    <col min="9" max="9" width="15" customWidth="1"/>
    <col min="10" max="10" width="21.140625" customWidth="1"/>
    <col min="26" max="26" width="0" hidden="1" customWidth="1"/>
  </cols>
  <sheetData>
    <row r="1" spans="1:26" s="613" customFormat="1" x14ac:dyDescent="0.2">
      <c r="A1" s="1205" t="s">
        <v>1291</v>
      </c>
      <c r="B1" s="1205"/>
      <c r="C1" s="1205"/>
      <c r="D1" s="1205"/>
      <c r="E1" s="1202" t="s">
        <v>837</v>
      </c>
      <c r="F1" s="1203"/>
      <c r="G1" s="1203"/>
      <c r="H1" s="1204"/>
      <c r="I1" s="1196" t="s">
        <v>916</v>
      </c>
      <c r="J1" s="1197"/>
      <c r="Z1" s="167" t="s">
        <v>701</v>
      </c>
    </row>
    <row r="2" spans="1:26" s="613" customFormat="1" x14ac:dyDescent="0.2">
      <c r="A2" s="560" t="s">
        <v>575</v>
      </c>
      <c r="B2" s="560" t="s">
        <v>790</v>
      </c>
      <c r="C2" s="561" t="s">
        <v>592</v>
      </c>
      <c r="D2" s="560" t="s">
        <v>848</v>
      </c>
      <c r="E2" s="587" t="s">
        <v>229</v>
      </c>
      <c r="F2" s="586" t="s">
        <v>836</v>
      </c>
      <c r="G2" s="586" t="s">
        <v>838</v>
      </c>
      <c r="H2" s="586" t="s">
        <v>840</v>
      </c>
      <c r="I2" s="714" t="s">
        <v>903</v>
      </c>
      <c r="J2" s="790"/>
      <c r="Z2" s="415" t="s">
        <v>702</v>
      </c>
    </row>
    <row r="3" spans="1:26" s="613" customFormat="1" x14ac:dyDescent="0.2">
      <c r="A3" s="682"/>
      <c r="B3" s="683"/>
      <c r="C3" s="684"/>
      <c r="D3" s="685"/>
      <c r="E3" s="686"/>
      <c r="F3" s="693"/>
      <c r="G3" s="693"/>
      <c r="H3" s="694"/>
      <c r="I3" s="715" t="s">
        <v>904</v>
      </c>
      <c r="J3" s="791"/>
      <c r="Z3" s="415" t="s">
        <v>703</v>
      </c>
    </row>
    <row r="4" spans="1:26" s="613" customFormat="1" x14ac:dyDescent="0.2">
      <c r="A4" s="1174" t="s">
        <v>806</v>
      </c>
      <c r="B4" s="562" t="s">
        <v>808</v>
      </c>
      <c r="C4" s="563">
        <v>1</v>
      </c>
      <c r="D4" s="575" t="s">
        <v>824</v>
      </c>
      <c r="E4" s="579"/>
      <c r="F4" s="558"/>
      <c r="G4" s="558"/>
      <c r="H4" s="580"/>
      <c r="I4" s="621"/>
      <c r="J4" s="621"/>
      <c r="Z4" s="415" t="s">
        <v>704</v>
      </c>
    </row>
    <row r="5" spans="1:26" x14ac:dyDescent="0.2">
      <c r="A5" s="1175"/>
      <c r="B5" s="1092" t="s">
        <v>807</v>
      </c>
      <c r="C5" s="564">
        <v>1</v>
      </c>
      <c r="D5" s="576" t="s">
        <v>3838</v>
      </c>
      <c r="E5" s="579"/>
      <c r="F5" s="558"/>
      <c r="G5" s="558"/>
      <c r="H5" s="580"/>
      <c r="I5" s="13"/>
      <c r="J5" s="13"/>
    </row>
    <row r="6" spans="1:26" x14ac:dyDescent="0.2">
      <c r="A6" s="1175"/>
      <c r="B6" s="1199" t="s">
        <v>809</v>
      </c>
      <c r="C6" s="564">
        <v>1</v>
      </c>
      <c r="D6" s="576" t="s">
        <v>3837</v>
      </c>
      <c r="E6" s="579"/>
      <c r="F6" s="558"/>
      <c r="G6" s="558"/>
      <c r="H6" s="580"/>
    </row>
    <row r="7" spans="1:26" ht="15" customHeight="1" x14ac:dyDescent="0.2">
      <c r="A7" s="1175"/>
      <c r="B7" s="1199"/>
      <c r="C7" s="566">
        <v>2</v>
      </c>
      <c r="D7" s="578" t="s">
        <v>1262</v>
      </c>
      <c r="E7" s="579"/>
      <c r="F7" s="558"/>
      <c r="G7" s="558"/>
      <c r="H7" s="580"/>
    </row>
    <row r="8" spans="1:26" ht="15" customHeight="1" x14ac:dyDescent="0.2">
      <c r="A8" s="1175"/>
      <c r="B8" s="1199"/>
      <c r="C8" s="565">
        <v>3</v>
      </c>
      <c r="D8" s="577" t="s">
        <v>810</v>
      </c>
      <c r="E8" s="579"/>
      <c r="F8" s="558"/>
      <c r="G8" s="558"/>
      <c r="H8" s="580"/>
    </row>
    <row r="9" spans="1:26" ht="15" customHeight="1" x14ac:dyDescent="0.2">
      <c r="A9" s="1175"/>
      <c r="B9" s="1199" t="s">
        <v>811</v>
      </c>
      <c r="C9" s="564">
        <v>1</v>
      </c>
      <c r="D9" s="576" t="s">
        <v>839</v>
      </c>
      <c r="E9" s="579"/>
      <c r="F9" s="558"/>
      <c r="G9" s="558"/>
      <c r="H9" s="580"/>
    </row>
    <row r="10" spans="1:26" ht="15" customHeight="1" x14ac:dyDescent="0.2">
      <c r="A10" s="1175"/>
      <c r="B10" s="1199"/>
      <c r="C10" s="566">
        <v>2</v>
      </c>
      <c r="D10" s="578" t="s">
        <v>825</v>
      </c>
      <c r="E10" s="579"/>
      <c r="F10" s="558"/>
      <c r="G10" s="558"/>
      <c r="H10" s="580"/>
    </row>
    <row r="11" spans="1:26" ht="15" customHeight="1" x14ac:dyDescent="0.2">
      <c r="A11" s="1175"/>
      <c r="B11" s="1199"/>
      <c r="C11" s="566">
        <v>3</v>
      </c>
      <c r="D11" s="578" t="s">
        <v>812</v>
      </c>
      <c r="E11" s="579"/>
      <c r="F11" s="558"/>
      <c r="G11" s="558"/>
      <c r="H11" s="580"/>
    </row>
    <row r="12" spans="1:26" ht="15" customHeight="1" x14ac:dyDescent="0.2">
      <c r="A12" s="1176"/>
      <c r="B12" s="1199"/>
      <c r="C12" s="565">
        <v>4</v>
      </c>
      <c r="D12" s="577" t="s">
        <v>826</v>
      </c>
      <c r="E12" s="579"/>
      <c r="F12" s="558"/>
      <c r="G12" s="558"/>
      <c r="H12" s="580"/>
    </row>
    <row r="13" spans="1:26" ht="15" customHeight="1" x14ac:dyDescent="0.35">
      <c r="A13" s="1180" t="s">
        <v>666</v>
      </c>
      <c r="B13" s="1182" t="s">
        <v>796</v>
      </c>
      <c r="C13" s="569">
        <v>1</v>
      </c>
      <c r="D13" s="576" t="s">
        <v>1242</v>
      </c>
      <c r="E13" s="579"/>
      <c r="F13" s="558"/>
      <c r="G13" s="558"/>
      <c r="H13" s="580"/>
    </row>
    <row r="14" spans="1:26" ht="15" customHeight="1" x14ac:dyDescent="0.2">
      <c r="A14" s="1198"/>
      <c r="B14" s="1200"/>
      <c r="C14" s="570">
        <v>2</v>
      </c>
      <c r="D14" s="578" t="s">
        <v>1243</v>
      </c>
      <c r="E14" s="579"/>
      <c r="F14" s="558"/>
      <c r="G14" s="558"/>
      <c r="H14" s="580"/>
    </row>
    <row r="15" spans="1:26" ht="15" customHeight="1" x14ac:dyDescent="0.2">
      <c r="A15" s="1198"/>
      <c r="B15" s="1200"/>
      <c r="C15" s="570">
        <v>3</v>
      </c>
      <c r="D15" s="578" t="s">
        <v>827</v>
      </c>
      <c r="E15" s="579"/>
      <c r="F15" s="558"/>
      <c r="G15" s="558"/>
      <c r="H15" s="580"/>
    </row>
    <row r="16" spans="1:26" ht="15" customHeight="1" x14ac:dyDescent="0.2">
      <c r="A16" s="1198"/>
      <c r="B16" s="1200"/>
      <c r="C16" s="570">
        <v>4</v>
      </c>
      <c r="D16" s="578" t="s">
        <v>828</v>
      </c>
      <c r="E16" s="579"/>
      <c r="F16" s="558"/>
      <c r="G16" s="558"/>
      <c r="H16" s="580"/>
    </row>
    <row r="17" spans="1:8" ht="15" customHeight="1" x14ac:dyDescent="0.2">
      <c r="A17" s="1198"/>
      <c r="B17" s="1200"/>
      <c r="C17" s="570">
        <v>5</v>
      </c>
      <c r="D17" s="578" t="s">
        <v>829</v>
      </c>
      <c r="E17" s="579"/>
      <c r="F17" s="558"/>
      <c r="G17" s="558"/>
      <c r="H17" s="580"/>
    </row>
    <row r="18" spans="1:8" ht="15" customHeight="1" x14ac:dyDescent="0.2">
      <c r="A18" s="1198"/>
      <c r="B18" s="1200"/>
      <c r="C18" s="570">
        <v>6</v>
      </c>
      <c r="D18" s="578" t="s">
        <v>830</v>
      </c>
      <c r="E18" s="579"/>
      <c r="F18" s="558"/>
      <c r="G18" s="558"/>
      <c r="H18" s="580"/>
    </row>
    <row r="19" spans="1:8" ht="15" customHeight="1" x14ac:dyDescent="0.2">
      <c r="A19" s="1198"/>
      <c r="B19" s="1201"/>
      <c r="C19" s="570">
        <v>7</v>
      </c>
      <c r="D19" s="578" t="s">
        <v>821</v>
      </c>
      <c r="E19" s="611"/>
      <c r="F19" s="558"/>
      <c r="G19" s="558"/>
      <c r="H19" s="580"/>
    </row>
    <row r="20" spans="1:8" ht="15" customHeight="1" x14ac:dyDescent="0.2">
      <c r="A20" s="1181"/>
      <c r="B20" s="1183"/>
      <c r="C20" s="571">
        <v>8</v>
      </c>
      <c r="D20" s="577" t="s">
        <v>867</v>
      </c>
      <c r="E20" s="579"/>
      <c r="F20" s="558"/>
      <c r="G20" s="558"/>
      <c r="H20" s="580"/>
    </row>
    <row r="21" spans="1:8" ht="15" customHeight="1" x14ac:dyDescent="0.2">
      <c r="A21" s="1180" t="s">
        <v>794</v>
      </c>
      <c r="B21" s="1182" t="s">
        <v>795</v>
      </c>
      <c r="C21" s="569">
        <v>1</v>
      </c>
      <c r="D21" s="576" t="s">
        <v>797</v>
      </c>
      <c r="E21" s="579"/>
      <c r="F21" s="558"/>
      <c r="G21" s="558"/>
      <c r="H21" s="580"/>
    </row>
    <row r="22" spans="1:8" ht="15" customHeight="1" x14ac:dyDescent="0.2">
      <c r="A22" s="1181"/>
      <c r="B22" s="1183"/>
      <c r="C22" s="571">
        <v>2</v>
      </c>
      <c r="D22" s="577" t="s">
        <v>831</v>
      </c>
      <c r="E22" s="579"/>
      <c r="F22" s="558"/>
      <c r="G22" s="558"/>
      <c r="H22" s="580"/>
    </row>
    <row r="23" spans="1:8" ht="15" customHeight="1" x14ac:dyDescent="0.2">
      <c r="A23" s="1184" t="s">
        <v>667</v>
      </c>
      <c r="B23" s="1187" t="s">
        <v>813</v>
      </c>
      <c r="C23" s="572">
        <v>1</v>
      </c>
      <c r="D23" s="576" t="s">
        <v>1244</v>
      </c>
      <c r="E23" s="579"/>
      <c r="F23" s="558"/>
      <c r="G23" s="558"/>
      <c r="H23" s="580"/>
    </row>
    <row r="24" spans="1:8" ht="15" customHeight="1" x14ac:dyDescent="0.2">
      <c r="A24" s="1185"/>
      <c r="B24" s="1188"/>
      <c r="C24" s="573">
        <v>2</v>
      </c>
      <c r="D24" s="578" t="s">
        <v>1245</v>
      </c>
      <c r="E24" s="579"/>
      <c r="F24" s="558"/>
      <c r="G24" s="558"/>
      <c r="H24" s="580"/>
    </row>
    <row r="25" spans="1:8" ht="15" customHeight="1" x14ac:dyDescent="0.2">
      <c r="A25" s="1185"/>
      <c r="B25" s="1188"/>
      <c r="C25" s="573">
        <v>3</v>
      </c>
      <c r="D25" s="578" t="s">
        <v>832</v>
      </c>
      <c r="E25" s="579"/>
      <c r="F25" s="558"/>
      <c r="G25" s="558"/>
      <c r="H25" s="580"/>
    </row>
    <row r="26" spans="1:8" ht="15" customHeight="1" x14ac:dyDescent="0.2">
      <c r="A26" s="1185"/>
      <c r="B26" s="1188"/>
      <c r="C26" s="573">
        <v>4</v>
      </c>
      <c r="D26" s="578" t="s">
        <v>1263</v>
      </c>
      <c r="E26" s="579"/>
      <c r="F26" s="558"/>
      <c r="G26" s="558"/>
      <c r="H26" s="580"/>
    </row>
    <row r="27" spans="1:8" ht="15" customHeight="1" x14ac:dyDescent="0.2">
      <c r="A27" s="1185"/>
      <c r="B27" s="1188"/>
      <c r="C27" s="573">
        <v>5</v>
      </c>
      <c r="D27" s="578" t="s">
        <v>814</v>
      </c>
      <c r="E27" s="579"/>
      <c r="F27" s="558"/>
      <c r="G27" s="558"/>
      <c r="H27" s="580"/>
    </row>
    <row r="28" spans="1:8" ht="15" customHeight="1" x14ac:dyDescent="0.2">
      <c r="A28" s="1185"/>
      <c r="B28" s="1188"/>
      <c r="C28" s="573">
        <v>6</v>
      </c>
      <c r="D28" s="578" t="s">
        <v>833</v>
      </c>
      <c r="E28" s="579"/>
      <c r="F28" s="558"/>
      <c r="G28" s="558"/>
      <c r="H28" s="580"/>
    </row>
    <row r="29" spans="1:8" ht="15" customHeight="1" x14ac:dyDescent="0.2">
      <c r="A29" s="1186"/>
      <c r="B29" s="1189"/>
      <c r="C29" s="573">
        <v>7</v>
      </c>
      <c r="D29" s="577" t="s">
        <v>834</v>
      </c>
      <c r="E29" s="579"/>
      <c r="F29" s="558"/>
      <c r="G29" s="558"/>
      <c r="H29" s="580"/>
    </row>
    <row r="30" spans="1:8" ht="15" customHeight="1" x14ac:dyDescent="0.2">
      <c r="A30" s="1184" t="s">
        <v>668</v>
      </c>
      <c r="B30" s="1187" t="s">
        <v>815</v>
      </c>
      <c r="C30" s="572">
        <v>1</v>
      </c>
      <c r="D30" s="576" t="s">
        <v>1244</v>
      </c>
      <c r="E30" s="579"/>
      <c r="F30" s="558"/>
      <c r="G30" s="558"/>
      <c r="H30" s="580"/>
    </row>
    <row r="31" spans="1:8" ht="15" customHeight="1" x14ac:dyDescent="0.2">
      <c r="A31" s="1185"/>
      <c r="B31" s="1188"/>
      <c r="C31" s="573">
        <v>2</v>
      </c>
      <c r="D31" s="578" t="s">
        <v>1245</v>
      </c>
      <c r="E31" s="579"/>
      <c r="F31" s="558"/>
      <c r="G31" s="558"/>
      <c r="H31" s="580"/>
    </row>
    <row r="32" spans="1:8" ht="15" customHeight="1" x14ac:dyDescent="0.2">
      <c r="A32" s="1185"/>
      <c r="B32" s="1188"/>
      <c r="C32" s="573">
        <v>3</v>
      </c>
      <c r="D32" s="578" t="s">
        <v>817</v>
      </c>
      <c r="E32" s="579"/>
      <c r="F32" s="558"/>
      <c r="G32" s="558"/>
      <c r="H32" s="580"/>
    </row>
    <row r="33" spans="1:8" ht="15" customHeight="1" x14ac:dyDescent="0.2">
      <c r="A33" s="1185"/>
      <c r="B33" s="1188"/>
      <c r="C33" s="573">
        <v>4</v>
      </c>
      <c r="D33" s="578" t="s">
        <v>814</v>
      </c>
      <c r="E33" s="579"/>
      <c r="F33" s="558"/>
      <c r="G33" s="558"/>
      <c r="H33" s="580"/>
    </row>
    <row r="34" spans="1:8" ht="15" customHeight="1" x14ac:dyDescent="0.2">
      <c r="A34" s="1185"/>
      <c r="B34" s="1188"/>
      <c r="C34" s="573">
        <v>5</v>
      </c>
      <c r="D34" s="578" t="s">
        <v>833</v>
      </c>
      <c r="E34" s="579"/>
      <c r="F34" s="558"/>
      <c r="G34" s="558"/>
      <c r="H34" s="580"/>
    </row>
    <row r="35" spans="1:8" ht="15" customHeight="1" x14ac:dyDescent="0.2">
      <c r="A35" s="1186"/>
      <c r="B35" s="1189"/>
      <c r="C35" s="574">
        <v>6</v>
      </c>
      <c r="D35" s="577" t="s">
        <v>834</v>
      </c>
      <c r="E35" s="579"/>
      <c r="F35" s="558"/>
      <c r="G35" s="558"/>
      <c r="H35" s="580"/>
    </row>
    <row r="36" spans="1:8" ht="15" customHeight="1" x14ac:dyDescent="0.35">
      <c r="A36" s="1190" t="s">
        <v>669</v>
      </c>
      <c r="B36" s="1193" t="s">
        <v>818</v>
      </c>
      <c r="C36" s="572">
        <v>1</v>
      </c>
      <c r="D36" s="576" t="s">
        <v>1246</v>
      </c>
      <c r="E36" s="579"/>
      <c r="F36" s="558"/>
      <c r="G36" s="558"/>
      <c r="H36" s="580"/>
    </row>
    <row r="37" spans="1:8" ht="15" customHeight="1" x14ac:dyDescent="0.2">
      <c r="A37" s="1191"/>
      <c r="B37" s="1194"/>
      <c r="C37" s="573">
        <v>3</v>
      </c>
      <c r="D37" s="578" t="s">
        <v>1264</v>
      </c>
      <c r="E37" s="579"/>
      <c r="F37" s="558"/>
      <c r="G37" s="558"/>
      <c r="H37" s="580"/>
    </row>
    <row r="38" spans="1:8" ht="15" customHeight="1" x14ac:dyDescent="0.2">
      <c r="A38" s="1191"/>
      <c r="B38" s="1194"/>
      <c r="C38" s="573">
        <v>4</v>
      </c>
      <c r="D38" s="578" t="s">
        <v>823</v>
      </c>
      <c r="E38" s="579"/>
      <c r="F38" s="558"/>
      <c r="G38" s="558"/>
      <c r="H38" s="580"/>
    </row>
    <row r="39" spans="1:8" ht="15" customHeight="1" x14ac:dyDescent="0.2">
      <c r="A39" s="1192"/>
      <c r="B39" s="1195"/>
      <c r="C39" s="573">
        <v>5</v>
      </c>
      <c r="D39" s="578" t="s">
        <v>835</v>
      </c>
      <c r="E39" s="579"/>
      <c r="F39" s="558"/>
      <c r="G39" s="558"/>
      <c r="H39" s="580"/>
    </row>
    <row r="40" spans="1:8" ht="15" customHeight="1" x14ac:dyDescent="0.2">
      <c r="A40" s="1190" t="s">
        <v>670</v>
      </c>
      <c r="B40" s="1193" t="s">
        <v>819</v>
      </c>
      <c r="C40" s="572">
        <v>1</v>
      </c>
      <c r="D40" s="576" t="s">
        <v>820</v>
      </c>
      <c r="E40" s="579"/>
      <c r="F40" s="558"/>
      <c r="G40" s="558"/>
      <c r="H40" s="580"/>
    </row>
    <row r="41" spans="1:8" ht="15" customHeight="1" x14ac:dyDescent="0.2">
      <c r="A41" s="1191"/>
      <c r="B41" s="1194"/>
      <c r="C41" s="573">
        <v>2</v>
      </c>
      <c r="D41" s="578" t="s">
        <v>866</v>
      </c>
      <c r="E41" s="579"/>
      <c r="F41" s="558"/>
      <c r="G41" s="558"/>
      <c r="H41" s="580"/>
    </row>
    <row r="42" spans="1:8" ht="15" customHeight="1" x14ac:dyDescent="0.2">
      <c r="A42" s="1191"/>
      <c r="B42" s="1194"/>
      <c r="C42" s="573">
        <v>3</v>
      </c>
      <c r="D42" s="578" t="s">
        <v>1265</v>
      </c>
      <c r="E42" s="579"/>
      <c r="F42" s="709"/>
      <c r="G42" s="709"/>
      <c r="H42" s="792"/>
    </row>
    <row r="43" spans="1:8" ht="15" customHeight="1" x14ac:dyDescent="0.2">
      <c r="A43" s="1191"/>
      <c r="B43" s="1194"/>
      <c r="C43" s="573">
        <v>4</v>
      </c>
      <c r="D43" s="578" t="s">
        <v>1247</v>
      </c>
      <c r="E43" s="579"/>
      <c r="F43" s="709"/>
      <c r="G43" s="709"/>
      <c r="H43" s="792"/>
    </row>
    <row r="44" spans="1:8" ht="15" customHeight="1" x14ac:dyDescent="0.2">
      <c r="A44" s="1192"/>
      <c r="B44" s="1195"/>
      <c r="C44" s="573">
        <v>5</v>
      </c>
      <c r="D44" s="577" t="s">
        <v>1248</v>
      </c>
      <c r="E44" s="579"/>
      <c r="F44" s="558"/>
      <c r="G44" s="558"/>
      <c r="H44" s="580"/>
    </row>
    <row r="45" spans="1:8" ht="15" customHeight="1" x14ac:dyDescent="0.2">
      <c r="A45" s="1174" t="s">
        <v>791</v>
      </c>
      <c r="B45" s="1177" t="s">
        <v>792</v>
      </c>
      <c r="C45" s="567">
        <v>1</v>
      </c>
      <c r="D45" s="576" t="s">
        <v>822</v>
      </c>
      <c r="E45" s="579"/>
      <c r="F45" s="558"/>
      <c r="G45" s="558"/>
      <c r="H45" s="580"/>
    </row>
    <row r="46" spans="1:8" ht="15" customHeight="1" x14ac:dyDescent="0.2">
      <c r="A46" s="1176"/>
      <c r="B46" s="1179"/>
      <c r="C46" s="568">
        <v>2</v>
      </c>
      <c r="D46" s="577" t="s">
        <v>798</v>
      </c>
      <c r="E46" s="579"/>
      <c r="F46" s="558"/>
      <c r="G46" s="558"/>
      <c r="H46" s="580"/>
    </row>
    <row r="47" spans="1:8" ht="15" customHeight="1" x14ac:dyDescent="0.2">
      <c r="A47" s="1174" t="s">
        <v>793</v>
      </c>
      <c r="B47" s="1177" t="s">
        <v>777</v>
      </c>
      <c r="C47" s="567">
        <v>1</v>
      </c>
      <c r="D47" s="576" t="s">
        <v>799</v>
      </c>
      <c r="E47" s="579"/>
      <c r="F47" s="558"/>
      <c r="G47" s="558"/>
      <c r="H47" s="580"/>
    </row>
    <row r="48" spans="1:8" x14ac:dyDescent="0.2">
      <c r="A48" s="1175"/>
      <c r="B48" s="1178"/>
      <c r="C48" s="566">
        <v>2</v>
      </c>
      <c r="D48" s="578" t="s">
        <v>803</v>
      </c>
      <c r="E48" s="579"/>
      <c r="F48" s="558"/>
      <c r="G48" s="558"/>
      <c r="H48" s="580"/>
    </row>
    <row r="49" spans="1:8" ht="15" customHeight="1" x14ac:dyDescent="0.2">
      <c r="A49" s="1175"/>
      <c r="B49" s="1178"/>
      <c r="C49" s="566">
        <v>3</v>
      </c>
      <c r="D49" s="578" t="s">
        <v>804</v>
      </c>
      <c r="E49" s="579"/>
      <c r="F49" s="558"/>
      <c r="G49" s="558"/>
      <c r="H49" s="580"/>
    </row>
    <row r="50" spans="1:8" ht="15" customHeight="1" x14ac:dyDescent="0.2">
      <c r="A50" s="1175"/>
      <c r="B50" s="1178"/>
      <c r="C50" s="566">
        <v>4</v>
      </c>
      <c r="D50" s="578" t="s">
        <v>800</v>
      </c>
      <c r="E50" s="579"/>
      <c r="F50" s="558"/>
      <c r="G50" s="558"/>
      <c r="H50" s="580"/>
    </row>
    <row r="51" spans="1:8" ht="15" customHeight="1" x14ac:dyDescent="0.2">
      <c r="A51" s="1175"/>
      <c r="B51" s="1178"/>
      <c r="C51" s="566">
        <v>5</v>
      </c>
      <c r="D51" s="578" t="s">
        <v>801</v>
      </c>
      <c r="E51" s="579"/>
      <c r="F51" s="558"/>
      <c r="G51" s="558"/>
      <c r="H51" s="580"/>
    </row>
    <row r="52" spans="1:8" ht="15" customHeight="1" x14ac:dyDescent="0.2">
      <c r="A52" s="1175"/>
      <c r="B52" s="1178"/>
      <c r="C52" s="566">
        <v>6</v>
      </c>
      <c r="D52" s="578" t="s">
        <v>802</v>
      </c>
      <c r="E52" s="579"/>
      <c r="F52" s="558"/>
      <c r="G52" s="558"/>
      <c r="H52" s="580"/>
    </row>
    <row r="53" spans="1:8" ht="15" customHeight="1" x14ac:dyDescent="0.2">
      <c r="A53" s="1176"/>
      <c r="B53" s="1179"/>
      <c r="C53" s="565">
        <v>7</v>
      </c>
      <c r="D53" s="577" t="s">
        <v>805</v>
      </c>
      <c r="E53" s="581"/>
      <c r="F53" s="559"/>
      <c r="G53" s="559"/>
      <c r="H53" s="582"/>
    </row>
    <row r="54" spans="1:8" ht="15" customHeight="1" x14ac:dyDescent="0.2"/>
    <row r="55" spans="1:8" ht="15" customHeight="1" x14ac:dyDescent="0.2"/>
    <row r="56" spans="1:8" ht="15" customHeight="1" x14ac:dyDescent="0.2"/>
    <row r="57" spans="1:8" ht="15" customHeight="1" x14ac:dyDescent="0.2"/>
  </sheetData>
  <sheetProtection algorithmName="SHA-512" hashValue="FEMcURu4rF9DIMrX75KiWKBSGsuctP0ZGJyPnc6gORW4Od6sDPGi22WF8Bl5rLdsPG2LwWLrI5QLcDcgb5YiPA==" saltValue="vQVQ2lFgTD5OqN3alxZsew==" spinCount="100000" sheet="1" objects="1" scenarios="1"/>
  <mergeCells count="22">
    <mergeCell ref="I1:J1"/>
    <mergeCell ref="A4:A12"/>
    <mergeCell ref="A13:A20"/>
    <mergeCell ref="B6:B8"/>
    <mergeCell ref="B9:B12"/>
    <mergeCell ref="B13:B20"/>
    <mergeCell ref="E1:H1"/>
    <mergeCell ref="A1:D1"/>
    <mergeCell ref="A47:A53"/>
    <mergeCell ref="B47:B53"/>
    <mergeCell ref="A45:A46"/>
    <mergeCell ref="B45:B46"/>
    <mergeCell ref="A21:A22"/>
    <mergeCell ref="B21:B22"/>
    <mergeCell ref="A23:A29"/>
    <mergeCell ref="A30:A35"/>
    <mergeCell ref="B23:B29"/>
    <mergeCell ref="B30:B35"/>
    <mergeCell ref="A36:A39"/>
    <mergeCell ref="B36:B39"/>
    <mergeCell ref="B40:B44"/>
    <mergeCell ref="A40:A44"/>
  </mergeCells>
  <pageMargins left="0.2" right="0.2" top="0.25" bottom="0.75" header="0.3" footer="0.3"/>
  <pageSetup scale="5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AW62"/>
  <sheetViews>
    <sheetView zoomScale="89" zoomScaleNormal="89" workbookViewId="0">
      <pane xSplit="8" ySplit="9" topLeftCell="I10" activePane="bottomRight" state="frozen"/>
      <selection activeCell="N6" sqref="N6"/>
      <selection pane="topRight" activeCell="N6" sqref="N6"/>
      <selection pane="bottomLeft" activeCell="N6" sqref="N6"/>
      <selection pane="bottomRight" activeCell="J6" sqref="J6"/>
    </sheetView>
  </sheetViews>
  <sheetFormatPr defaultColWidth="5.85546875" defaultRowHeight="12" x14ac:dyDescent="0.2"/>
  <cols>
    <col min="1" max="1" width="4" style="69" bestFit="1" customWidth="1"/>
    <col min="2" max="2" width="9.140625" style="69" customWidth="1"/>
    <col min="3" max="3" width="36.42578125" style="69" customWidth="1"/>
    <col min="4" max="4" width="35" style="69" customWidth="1"/>
    <col min="5" max="5" width="7.85546875" style="69" customWidth="1"/>
    <col min="6" max="6" width="7.140625" style="69" customWidth="1"/>
    <col min="7" max="7" width="7.7109375" style="69" customWidth="1"/>
    <col min="8" max="8" width="1" style="69" customWidth="1"/>
    <col min="9" max="9" width="8.5703125" style="69" hidden="1" customWidth="1"/>
    <col min="10" max="10" width="8.5703125" style="69" customWidth="1"/>
    <col min="11" max="11" width="8.140625" style="69" customWidth="1"/>
    <col min="12" max="12" width="12.140625" style="69" customWidth="1"/>
    <col min="13" max="13" width="9.85546875" style="69" customWidth="1"/>
    <col min="14" max="14" width="9.85546875" style="69" hidden="1" customWidth="1"/>
    <col min="15" max="15" width="8.140625" style="69" hidden="1" customWidth="1"/>
    <col min="16" max="16" width="10.7109375" style="69" customWidth="1"/>
    <col min="17" max="17" width="7.140625" style="69" hidden="1" customWidth="1"/>
    <col min="18" max="18" width="10.7109375" style="69" customWidth="1"/>
    <col min="19" max="19" width="1" style="69" customWidth="1"/>
    <col min="20" max="20" width="5.85546875" style="69" customWidth="1"/>
    <col min="21" max="21" width="9" style="69" hidden="1" customWidth="1"/>
    <col min="22" max="22" width="7.42578125" style="69" customWidth="1"/>
    <col min="23" max="23" width="8.5703125" style="69" customWidth="1"/>
    <col min="24" max="24" width="8.42578125" style="779" bestFit="1" customWidth="1"/>
    <col min="25" max="25" width="10.5703125" style="69" customWidth="1"/>
    <col min="26" max="26" width="9.5703125" style="69" customWidth="1"/>
    <col min="27" max="27" width="7.85546875" style="69" hidden="1" customWidth="1"/>
    <col min="28" max="28" width="10.42578125" style="69" customWidth="1"/>
    <col min="29" max="29" width="9.140625" style="69" customWidth="1"/>
    <col min="30" max="30" width="9.28515625" style="69" bestFit="1" customWidth="1"/>
    <col min="31" max="31" width="8.42578125" style="69" hidden="1" customWidth="1"/>
    <col min="32" max="32" width="11" style="69" hidden="1" customWidth="1"/>
    <col min="33" max="33" width="8.140625" style="69" hidden="1" customWidth="1"/>
    <col min="34" max="34" width="11.28515625" style="69" hidden="1" customWidth="1"/>
    <col min="35" max="35" width="11.28515625" style="69" customWidth="1"/>
    <col min="36" max="36" width="8.140625" style="69" hidden="1" customWidth="1"/>
    <col min="37" max="37" width="12.5703125" style="69" customWidth="1"/>
    <col min="38" max="38" width="5.85546875" style="69"/>
    <col min="39" max="39" width="7.7109375" style="69" bestFit="1" customWidth="1"/>
    <col min="40" max="45" width="5.85546875" style="69"/>
    <col min="46" max="46" width="1.42578125" style="69" customWidth="1"/>
    <col min="47" max="47" width="18.7109375" style="69" hidden="1" customWidth="1"/>
    <col min="48" max="48" width="5.85546875" style="69" hidden="1" customWidth="1"/>
    <col min="49" max="49" width="5.85546875" style="69" hidden="1" customWidth="1" collapsed="1"/>
    <col min="50" max="50" width="5.85546875" style="69" customWidth="1"/>
    <col min="51" max="16384" width="5.85546875" style="69"/>
  </cols>
  <sheetData>
    <row r="1" spans="1:48" s="68" customFormat="1" ht="13.5" thickBot="1" x14ac:dyDescent="0.25">
      <c r="A1" s="107"/>
      <c r="B1" s="94" t="str">
        <f>'SUMMARY FORM'!A2</f>
        <v>FY21 SELF-SUPPORTING BUDGET REQUEST</v>
      </c>
      <c r="C1" s="109"/>
      <c r="D1" s="94"/>
      <c r="E1" s="108"/>
      <c r="F1" s="109"/>
      <c r="G1" s="109"/>
      <c r="H1" s="109"/>
      <c r="I1" s="109"/>
      <c r="J1" s="109"/>
      <c r="K1" s="109"/>
      <c r="L1" s="109"/>
      <c r="M1" s="109"/>
      <c r="N1" s="109"/>
      <c r="O1" s="109"/>
      <c r="P1" s="109"/>
      <c r="Q1" s="109"/>
      <c r="R1" s="109"/>
      <c r="S1" s="109"/>
      <c r="T1" s="109"/>
      <c r="U1" s="109"/>
      <c r="V1" s="109"/>
      <c r="W1" s="109"/>
      <c r="X1" s="777"/>
      <c r="Y1" s="109"/>
      <c r="Z1" s="109"/>
      <c r="AA1" s="109"/>
      <c r="AB1" s="109"/>
      <c r="AC1" s="109"/>
      <c r="AD1" s="109"/>
      <c r="AE1" s="109"/>
      <c r="AF1" s="109"/>
      <c r="AG1" s="109"/>
      <c r="AH1" s="109"/>
      <c r="AI1" s="109"/>
      <c r="AJ1" s="110"/>
      <c r="AK1" s="422" t="s">
        <v>1109</v>
      </c>
      <c r="AT1" s="608"/>
      <c r="AU1" s="334" t="s">
        <v>645</v>
      </c>
      <c r="AV1" s="382" t="s">
        <v>909</v>
      </c>
    </row>
    <row r="2" spans="1:48" ht="12.75" customHeight="1" x14ac:dyDescent="0.2">
      <c r="A2" s="63"/>
      <c r="D2" s="63"/>
      <c r="E2" s="63"/>
      <c r="F2" s="63"/>
      <c r="G2" s="63"/>
      <c r="H2" s="111"/>
      <c r="I2" s="63"/>
      <c r="J2" s="63"/>
      <c r="K2" s="63"/>
      <c r="L2" s="112"/>
      <c r="M2" s="112"/>
      <c r="N2" s="141"/>
      <c r="O2" s="112"/>
      <c r="P2" s="112"/>
      <c r="Q2" s="141"/>
      <c r="R2" s="112"/>
      <c r="S2" s="112"/>
      <c r="T2" s="112"/>
      <c r="U2" s="112"/>
      <c r="V2" s="112"/>
      <c r="W2" s="112"/>
      <c r="X2" s="778"/>
      <c r="Y2" s="63"/>
      <c r="Z2" s="63"/>
      <c r="AA2" s="63"/>
      <c r="AB2" s="63"/>
      <c r="AC2" s="63"/>
      <c r="AD2" s="63"/>
      <c r="AE2" s="63"/>
      <c r="AF2" s="63"/>
      <c r="AG2" s="63"/>
      <c r="AH2" s="63"/>
      <c r="AI2"/>
      <c r="AJ2"/>
      <c r="AK2"/>
      <c r="AT2" s="609"/>
      <c r="AU2" s="335" t="s">
        <v>632</v>
      </c>
      <c r="AV2" s="35"/>
    </row>
    <row r="3" spans="1:48" ht="12.75" customHeight="1" x14ac:dyDescent="0.2">
      <c r="A3" s="112"/>
      <c r="C3" s="375" t="s">
        <v>641</v>
      </c>
      <c r="D3" s="633" t="str">
        <f>'SUMMARY FORM'!AF2</f>
        <v>0  0  0  NEW</v>
      </c>
      <c r="E3"/>
      <c r="F3" s="63"/>
      <c r="G3" s="63"/>
      <c r="H3" s="111"/>
      <c r="I3" s="112"/>
      <c r="J3" s="112"/>
      <c r="K3" s="112"/>
      <c r="L3" s="112"/>
      <c r="M3" s="112"/>
      <c r="N3" s="448"/>
      <c r="O3" s="112"/>
      <c r="P3" s="112"/>
      <c r="Q3" s="369"/>
      <c r="R3" s="112"/>
      <c r="S3" s="112"/>
      <c r="T3" s="1336" t="str">
        <f>IF(U21=V21,"","Note: An FTE is more than two decimal places. Please adjust all FTEs to be two decimal places in length.")</f>
        <v/>
      </c>
      <c r="U3" s="1336"/>
      <c r="V3" s="1336"/>
      <c r="W3" s="1336"/>
      <c r="X3" s="1336"/>
      <c r="Y3" s="1336"/>
      <c r="Z3" s="1336"/>
      <c r="AA3" s="1336"/>
      <c r="AB3" s="1336"/>
      <c r="AC3" s="1336"/>
      <c r="AD3" s="1336"/>
      <c r="AE3" s="1336"/>
      <c r="AF3" s="1336"/>
      <c r="AG3" s="1336"/>
      <c r="AH3" s="1336"/>
      <c r="AI3" s="1336"/>
      <c r="AJ3" s="1336"/>
      <c r="AK3" s="1336"/>
      <c r="AT3" s="609"/>
      <c r="AU3" s="383" t="s">
        <v>639</v>
      </c>
      <c r="AV3" s="35" t="s">
        <v>1064</v>
      </c>
    </row>
    <row r="4" spans="1:48" ht="12.75" customHeight="1" x14ac:dyDescent="0.2">
      <c r="A4" s="112"/>
      <c r="B4"/>
      <c r="C4"/>
      <c r="D4"/>
      <c r="E4"/>
      <c r="F4" s="63"/>
      <c r="G4" s="63"/>
      <c r="H4" s="111"/>
      <c r="I4" s="112"/>
      <c r="J4" s="112"/>
      <c r="K4" s="112"/>
      <c r="L4" s="112"/>
      <c r="M4" s="112"/>
      <c r="N4" s="337"/>
      <c r="O4" s="112"/>
      <c r="P4" s="112"/>
      <c r="Q4" s="112"/>
      <c r="R4" s="112"/>
      <c r="S4" s="112"/>
      <c r="T4" s="1337"/>
      <c r="U4" s="1337"/>
      <c r="V4" s="1337"/>
      <c r="W4" s="1337"/>
      <c r="X4" s="1337"/>
      <c r="Y4" s="1337"/>
      <c r="Z4" s="1337"/>
      <c r="AA4" s="1337"/>
      <c r="AB4" s="1337"/>
      <c r="AC4" s="1337"/>
      <c r="AD4" s="1337"/>
      <c r="AE4" s="1337"/>
      <c r="AF4" s="1337"/>
      <c r="AG4" s="1337"/>
      <c r="AH4" s="1337"/>
      <c r="AI4" s="1337"/>
      <c r="AJ4" s="1337"/>
      <c r="AK4" s="1337"/>
      <c r="AT4" s="609"/>
      <c r="AU4" s="35"/>
      <c r="AV4" s="35" t="s">
        <v>1065</v>
      </c>
    </row>
    <row r="5" spans="1:48" s="637" customFormat="1" ht="15.75" x14ac:dyDescent="0.25">
      <c r="A5" s="649"/>
      <c r="B5" s="1339" t="str">
        <f>'SUMMARY FORM'!N15&amp;" Temporary Grant Bridge Funding - Classified"</f>
        <v>FY21 Temporary Grant Bridge Funding - Classified</v>
      </c>
      <c r="C5" s="1340"/>
      <c r="D5" s="1340"/>
      <c r="E5" s="1340"/>
      <c r="F5" s="1340"/>
      <c r="G5" s="1427"/>
      <c r="H5" s="650"/>
      <c r="I5" s="1428" t="str">
        <f>'FORM E1'!H5</f>
        <v>FY20 - PROJECTED ACTUAL</v>
      </c>
      <c r="J5" s="1395"/>
      <c r="K5" s="1429"/>
      <c r="L5" s="1429"/>
      <c r="M5" s="1429"/>
      <c r="N5" s="1429"/>
      <c r="O5" s="1429"/>
      <c r="P5" s="1429"/>
      <c r="Q5" s="1429"/>
      <c r="R5" s="1430"/>
      <c r="S5" s="651"/>
      <c r="T5" s="1428" t="str">
        <f>'FORM E1'!S5</f>
        <v xml:space="preserve">FY21 BUDGET </v>
      </c>
      <c r="U5" s="1429"/>
      <c r="V5" s="1395"/>
      <c r="W5" s="1429"/>
      <c r="X5" s="1429"/>
      <c r="Y5" s="1429"/>
      <c r="Z5" s="1429"/>
      <c r="AA5" s="1429"/>
      <c r="AB5" s="1429"/>
      <c r="AC5" s="1429"/>
      <c r="AD5" s="1431"/>
      <c r="AE5" s="1431"/>
      <c r="AF5" s="1432"/>
      <c r="AG5" s="1429"/>
      <c r="AH5" s="1429"/>
      <c r="AI5" s="1429"/>
      <c r="AJ5" s="1429"/>
      <c r="AK5" s="1430"/>
      <c r="AT5" s="652"/>
      <c r="AV5" s="35" t="s">
        <v>1066</v>
      </c>
    </row>
    <row r="6" spans="1:48" ht="12.75" customHeight="1" x14ac:dyDescent="0.2">
      <c r="A6" s="112"/>
      <c r="B6" s="71" t="s">
        <v>2</v>
      </c>
      <c r="C6" s="332" t="s">
        <v>3</v>
      </c>
      <c r="D6" s="332" t="s">
        <v>4</v>
      </c>
      <c r="E6" s="332" t="s">
        <v>644</v>
      </c>
      <c r="F6" s="72" t="s">
        <v>7</v>
      </c>
      <c r="G6" s="72" t="s">
        <v>8</v>
      </c>
      <c r="H6" s="111"/>
      <c r="J6" s="72" t="s">
        <v>9</v>
      </c>
      <c r="K6" s="72" t="s">
        <v>10</v>
      </c>
      <c r="L6" s="72" t="s">
        <v>11</v>
      </c>
      <c r="M6" s="324"/>
      <c r="N6" s="324"/>
      <c r="O6" s="324"/>
      <c r="P6" s="324"/>
      <c r="Q6" s="324"/>
      <c r="R6" s="74"/>
      <c r="S6" s="63"/>
      <c r="T6" s="72" t="s">
        <v>12</v>
      </c>
      <c r="U6" s="42"/>
      <c r="V6" s="42" t="s">
        <v>13</v>
      </c>
      <c r="W6" s="72" t="s">
        <v>14</v>
      </c>
      <c r="X6" s="780" t="s">
        <v>636</v>
      </c>
      <c r="Y6" s="75"/>
      <c r="Z6" s="75"/>
      <c r="AA6" s="74"/>
      <c r="AB6" s="601" t="s">
        <v>3902</v>
      </c>
      <c r="AC6" s="602"/>
      <c r="AD6" s="515"/>
      <c r="AE6" s="515"/>
      <c r="AF6" s="515"/>
      <c r="AG6" s="74"/>
      <c r="AH6" s="76" t="s">
        <v>1</v>
      </c>
      <c r="AI6" s="76"/>
      <c r="AJ6" s="74"/>
      <c r="AK6" s="74"/>
      <c r="AT6" s="609"/>
    </row>
    <row r="7" spans="1:48" ht="12.75" customHeight="1" x14ac:dyDescent="0.2">
      <c r="A7" s="112"/>
      <c r="B7" s="341"/>
      <c r="C7" s="342"/>
      <c r="D7" s="342"/>
      <c r="E7" s="341" t="s">
        <v>634</v>
      </c>
      <c r="F7" s="342"/>
      <c r="G7" s="343">
        <v>0.05</v>
      </c>
      <c r="H7" s="344"/>
      <c r="I7" s="1121"/>
      <c r="J7" s="955"/>
      <c r="K7" s="346" t="s">
        <v>592</v>
      </c>
      <c r="L7" s="341" t="str">
        <f>'SUMMARY FORM'!J15</f>
        <v>FY20</v>
      </c>
      <c r="M7" s="695" t="str">
        <f>L7</f>
        <v>FY20</v>
      </c>
      <c r="N7" s="655"/>
      <c r="O7" s="696" t="str">
        <f>M7</f>
        <v>FY20</v>
      </c>
      <c r="P7" s="697" t="str">
        <f>O7</f>
        <v>FY20</v>
      </c>
      <c r="Q7" s="641" t="s">
        <v>1203</v>
      </c>
      <c r="R7" s="356" t="str">
        <f>L7</f>
        <v>FY20</v>
      </c>
      <c r="S7" s="63"/>
      <c r="T7" s="116" t="s">
        <v>350</v>
      </c>
      <c r="U7" s="1121"/>
      <c r="V7" s="955"/>
      <c r="W7" s="280" t="s">
        <v>592</v>
      </c>
      <c r="X7" s="781" t="s">
        <v>635</v>
      </c>
      <c r="Y7" s="371" t="str">
        <f>'SUMMARY FORM'!N15</f>
        <v>FY21</v>
      </c>
      <c r="Z7" s="371" t="str">
        <f>'SUMMARY FORM'!N15</f>
        <v>FY21</v>
      </c>
      <c r="AA7" s="660" t="str">
        <f>'SUMMARY FORM'!N15</f>
        <v>FY21</v>
      </c>
      <c r="AB7" s="1389" t="s">
        <v>849</v>
      </c>
      <c r="AC7" s="1389"/>
      <c r="AD7" s="1389"/>
      <c r="AE7" s="1389"/>
      <c r="AF7" s="666"/>
      <c r="AG7" s="666"/>
      <c r="AH7" s="677"/>
      <c r="AI7" s="440" t="str">
        <f>Z7</f>
        <v>FY21</v>
      </c>
      <c r="AJ7" s="641" t="s">
        <v>1203</v>
      </c>
      <c r="AK7" s="115" t="str">
        <f>AI7</f>
        <v>FY21</v>
      </c>
      <c r="AT7" s="609"/>
    </row>
    <row r="8" spans="1:48" ht="12.75" customHeight="1" x14ac:dyDescent="0.2">
      <c r="A8" s="112"/>
      <c r="B8" s="347" t="s">
        <v>244</v>
      </c>
      <c r="C8" s="348"/>
      <c r="D8" s="348" t="s">
        <v>0</v>
      </c>
      <c r="E8" s="347" t="s">
        <v>571</v>
      </c>
      <c r="F8" s="348"/>
      <c r="G8" s="348" t="s">
        <v>627</v>
      </c>
      <c r="H8" s="344"/>
      <c r="I8" s="1122" t="s">
        <v>3866</v>
      </c>
      <c r="J8" s="966"/>
      <c r="K8" s="350" t="s">
        <v>345</v>
      </c>
      <c r="L8" s="347" t="s">
        <v>20</v>
      </c>
      <c r="M8" s="357" t="s">
        <v>626</v>
      </c>
      <c r="N8" s="656" t="s">
        <v>349</v>
      </c>
      <c r="O8" s="656" t="s">
        <v>330</v>
      </c>
      <c r="P8" s="358" t="s">
        <v>246</v>
      </c>
      <c r="Q8" s="642" t="s">
        <v>1202</v>
      </c>
      <c r="R8" s="359" t="s">
        <v>330</v>
      </c>
      <c r="S8" s="63"/>
      <c r="T8" s="121" t="s">
        <v>274</v>
      </c>
      <c r="U8" s="1122" t="s">
        <v>3866</v>
      </c>
      <c r="V8" s="966"/>
      <c r="W8" s="41" t="s">
        <v>345</v>
      </c>
      <c r="X8" s="782" t="s">
        <v>571</v>
      </c>
      <c r="Y8" s="357" t="s">
        <v>20</v>
      </c>
      <c r="Z8" s="357" t="s">
        <v>626</v>
      </c>
      <c r="AA8" s="661" t="s">
        <v>330</v>
      </c>
      <c r="AB8" s="603" t="s">
        <v>850</v>
      </c>
      <c r="AC8" s="604" t="s">
        <v>852</v>
      </c>
      <c r="AD8" s="596" t="s">
        <v>859</v>
      </c>
      <c r="AE8" s="663" t="s">
        <v>852</v>
      </c>
      <c r="AF8" s="667" t="s">
        <v>349</v>
      </c>
      <c r="AG8" s="667" t="s">
        <v>366</v>
      </c>
      <c r="AH8" s="678"/>
      <c r="AI8" s="358" t="s">
        <v>330</v>
      </c>
      <c r="AJ8" s="642" t="s">
        <v>1202</v>
      </c>
      <c r="AK8" s="120" t="s">
        <v>330</v>
      </c>
      <c r="AT8" s="609"/>
    </row>
    <row r="9" spans="1:48" ht="12.75" customHeight="1" x14ac:dyDescent="0.2">
      <c r="A9" s="112"/>
      <c r="B9" s="351" t="s">
        <v>15</v>
      </c>
      <c r="C9" s="352" t="s">
        <v>16</v>
      </c>
      <c r="D9" s="48" t="s">
        <v>3859</v>
      </c>
      <c r="E9" s="351" t="s">
        <v>572</v>
      </c>
      <c r="F9" s="339" t="s">
        <v>579</v>
      </c>
      <c r="G9" s="339" t="s">
        <v>345</v>
      </c>
      <c r="H9" s="344"/>
      <c r="I9" s="1123" t="s">
        <v>243</v>
      </c>
      <c r="J9" s="339" t="s">
        <v>243</v>
      </c>
      <c r="K9" s="353" t="s">
        <v>591</v>
      </c>
      <c r="L9" s="351" t="s">
        <v>245</v>
      </c>
      <c r="M9" s="360" t="s">
        <v>345</v>
      </c>
      <c r="N9" s="657" t="s">
        <v>245</v>
      </c>
      <c r="O9" s="657" t="s">
        <v>245</v>
      </c>
      <c r="P9" s="361" t="s">
        <v>245</v>
      </c>
      <c r="Q9" s="703">
        <f>Rates!I367</f>
        <v>0.44900000000000001</v>
      </c>
      <c r="R9" s="362" t="s">
        <v>19</v>
      </c>
      <c r="S9" s="63"/>
      <c r="T9" s="121" t="str">
        <f>'SUMMARY FORM'!N15</f>
        <v>FY21</v>
      </c>
      <c r="U9" s="1123" t="s">
        <v>243</v>
      </c>
      <c r="V9" s="977" t="s">
        <v>243</v>
      </c>
      <c r="W9" s="41" t="s">
        <v>591</v>
      </c>
      <c r="X9" s="783" t="s">
        <v>572</v>
      </c>
      <c r="Y9" s="357" t="s">
        <v>245</v>
      </c>
      <c r="Z9" s="357" t="s">
        <v>345</v>
      </c>
      <c r="AA9" s="661" t="s">
        <v>245</v>
      </c>
      <c r="AB9" s="590" t="s">
        <v>851</v>
      </c>
      <c r="AC9" s="591" t="s">
        <v>910</v>
      </c>
      <c r="AD9" s="596" t="s">
        <v>860</v>
      </c>
      <c r="AE9" s="664" t="s">
        <v>351</v>
      </c>
      <c r="AF9" s="668" t="s">
        <v>20</v>
      </c>
      <c r="AG9" s="668" t="s">
        <v>245</v>
      </c>
      <c r="AH9" s="679" t="s">
        <v>247</v>
      </c>
      <c r="AI9" s="358" t="s">
        <v>245</v>
      </c>
      <c r="AJ9" s="703">
        <f>Rates!I384</f>
        <v>0.435</v>
      </c>
      <c r="AK9" s="120" t="s">
        <v>19</v>
      </c>
      <c r="AT9" s="609"/>
    </row>
    <row r="10" spans="1:48" ht="26.25" customHeight="1" x14ac:dyDescent="0.2">
      <c r="A10" s="37">
        <v>1</v>
      </c>
      <c r="B10" s="509"/>
      <c r="C10" s="510"/>
      <c r="D10" s="511"/>
      <c r="E10" s="512"/>
      <c r="F10" s="513"/>
      <c r="G10" s="482"/>
      <c r="H10" s="70"/>
      <c r="I10" s="1124">
        <f>ROUND(J10,2)</f>
        <v>0</v>
      </c>
      <c r="J10" s="1125"/>
      <c r="K10" s="396"/>
      <c r="L10" s="593"/>
      <c r="M10" s="629">
        <f>L10*IF(G10="Both",0.05*2,IF(G10="",0,0.05))</f>
        <v>0</v>
      </c>
      <c r="N10" s="629">
        <f>IF(F10="y",(((L10+M10)*Rates!I378))/24,((L10+M10)/24))</f>
        <v>0</v>
      </c>
      <c r="O10" s="629">
        <f>N10*K10*I10</f>
        <v>0</v>
      </c>
      <c r="P10" s="629">
        <f>N10*K10*I10</f>
        <v>0</v>
      </c>
      <c r="Q10" s="659">
        <f>P10*$Q$9</f>
        <v>0</v>
      </c>
      <c r="R10" s="658">
        <f>Q10</f>
        <v>0</v>
      </c>
      <c r="S10" s="63"/>
      <c r="T10" s="462"/>
      <c r="U10" s="1124">
        <f>ROUND(V10,2)</f>
        <v>0</v>
      </c>
      <c r="V10" s="1125"/>
      <c r="W10" s="396"/>
      <c r="X10" s="481"/>
      <c r="Y10" s="659">
        <f>IF(X10="",0,ROUND(VLOOKUP(X10,Compsch!$A$10:$B$509,2),2))</f>
        <v>0</v>
      </c>
      <c r="Z10" s="659">
        <f t="shared" ref="Z10:Z19" si="0">Y10*IF(G10="Both",0.05*2,IF(G10="",0,0.05))</f>
        <v>0</v>
      </c>
      <c r="AA10" s="659">
        <f>Y10+Z10</f>
        <v>0</v>
      </c>
      <c r="AB10" s="671"/>
      <c r="AC10" s="662">
        <f>IFERROR(IF(AB10="",0,ROUND((VLOOKUP(X10,Compsch!$A$11:$I$390,9)-(VLOOKUP(X10,Compsch!$A$11:$I$390,7)))*(VLOOKUP(AB10,MeritSch!$A$5:$B$370,2)),0)),0)</f>
        <v>0</v>
      </c>
      <c r="AD10" s="659">
        <f t="shared" ref="AD10:AD19" si="1">AC10*IF(G10="Both",0.05*2,IF(G10="",0,0.05))*(T10&lt;&gt;"Y")</f>
        <v>0</v>
      </c>
      <c r="AE10" s="665">
        <f>AC10+AD10</f>
        <v>0</v>
      </c>
      <c r="AF10" s="630">
        <f>IF(F10="y",((((Y10+Z10+AE10)*U10)*Rates!$I$379))/24,(((Y10+Z10+AE10)*U10)/24))</f>
        <v>0</v>
      </c>
      <c r="AG10" s="669" t="b">
        <f t="shared" ref="AG10:AG19" si="2">IF(AND(Y10=""),0,IF(AND(Y10&gt;0),(((AA10+AE10)/24)*W10*U10)))</f>
        <v>0</v>
      </c>
      <c r="AH10" s="672"/>
      <c r="AI10" s="643">
        <f>IF(F10="y",(AG10*Rates!$I$362+AH10),(AG10+AH10))</f>
        <v>0</v>
      </c>
      <c r="AJ10" s="659">
        <f t="shared" ref="AJ10:AJ19" si="3">AI10*$AJ$9</f>
        <v>0</v>
      </c>
      <c r="AK10" s="670">
        <f t="shared" ref="AK10:AK19" si="4">SUM(AJ10:AJ10)</f>
        <v>0</v>
      </c>
    </row>
    <row r="11" spans="1:48" ht="26.25" customHeight="1" x14ac:dyDescent="0.2">
      <c r="A11" s="37">
        <v>2</v>
      </c>
      <c r="B11" s="509"/>
      <c r="C11" s="510"/>
      <c r="D11" s="511"/>
      <c r="E11" s="512"/>
      <c r="F11" s="513"/>
      <c r="G11" s="482"/>
      <c r="H11" s="70"/>
      <c r="I11" s="1124">
        <f t="shared" ref="I11:I19" si="5">ROUND(J11,2)</f>
        <v>0</v>
      </c>
      <c r="J11" s="1125"/>
      <c r="K11" s="396"/>
      <c r="L11" s="593"/>
      <c r="M11" s="629">
        <f t="shared" ref="M11:M19" si="6">L11*IF(G11="Both",0.05*2,IF(G11="",0,0.05))</f>
        <v>0</v>
      </c>
      <c r="N11" s="629">
        <f>IF(F11="y",(((L11+M11)*Rates!I379))/24,((L11+M11)/24))</f>
        <v>0</v>
      </c>
      <c r="O11" s="629">
        <f t="shared" ref="O11:O19" si="7">N11*K11*I11</f>
        <v>0</v>
      </c>
      <c r="P11" s="629">
        <f t="shared" ref="P11:P19" si="8">N11*K11*I11</f>
        <v>0</v>
      </c>
      <c r="Q11" s="659">
        <f t="shared" ref="Q11:Q19" si="9">P11*$Q$9</f>
        <v>0</v>
      </c>
      <c r="R11" s="658">
        <f t="shared" ref="R11:R19" si="10">Q11</f>
        <v>0</v>
      </c>
      <c r="S11" s="63"/>
      <c r="T11" s="462"/>
      <c r="U11" s="1124">
        <f t="shared" ref="U11:U19" si="11">ROUND(V11,2)</f>
        <v>0</v>
      </c>
      <c r="V11" s="1125"/>
      <c r="W11" s="396"/>
      <c r="X11" s="481"/>
      <c r="Y11" s="659">
        <f>IF(X11="",0,ROUND(VLOOKUP(X11,Compsch!$A$10:$B$509,2),2))</f>
        <v>0</v>
      </c>
      <c r="Z11" s="659">
        <f t="shared" si="0"/>
        <v>0</v>
      </c>
      <c r="AA11" s="659">
        <f t="shared" ref="AA11:AA19" si="12">Y11+Z11</f>
        <v>0</v>
      </c>
      <c r="AB11" s="671"/>
      <c r="AC11" s="662">
        <f>IFERROR(IF(AB11="",0,ROUND((VLOOKUP(X11,Compsch!$A$11:$I$390,9)-(VLOOKUP(X11,Compsch!$A$11:$I$390,7)))*(VLOOKUP(AB11,MeritSch!$A$5:$B$370,2)),0)),0)</f>
        <v>0</v>
      </c>
      <c r="AD11" s="659">
        <f t="shared" si="1"/>
        <v>0</v>
      </c>
      <c r="AE11" s="665">
        <f t="shared" ref="AE11:AE19" si="13">AC11+AD11</f>
        <v>0</v>
      </c>
      <c r="AF11" s="630">
        <f>IF(F11="y",((((Y11+Z11+AE11)*U11)*Rates!$I$379))/24,(((Y11+Z11+AE11)*U11)/24))</f>
        <v>0</v>
      </c>
      <c r="AG11" s="669" t="b">
        <f t="shared" si="2"/>
        <v>0</v>
      </c>
      <c r="AH11" s="672"/>
      <c r="AI11" s="643">
        <f>IF(F11="y",(AG11*Rates!$I$362+AH11),(AG11+AH11))</f>
        <v>0</v>
      </c>
      <c r="AJ11" s="659">
        <f t="shared" si="3"/>
        <v>0</v>
      </c>
      <c r="AK11" s="670">
        <f t="shared" si="4"/>
        <v>0</v>
      </c>
    </row>
    <row r="12" spans="1:48" ht="26.25" customHeight="1" x14ac:dyDescent="0.2">
      <c r="A12" s="37">
        <v>3</v>
      </c>
      <c r="B12" s="509"/>
      <c r="C12" s="510"/>
      <c r="D12" s="511"/>
      <c r="E12" s="512"/>
      <c r="F12" s="513"/>
      <c r="G12" s="482"/>
      <c r="H12" s="70"/>
      <c r="I12" s="1124">
        <f t="shared" si="5"/>
        <v>0</v>
      </c>
      <c r="J12" s="1125"/>
      <c r="K12" s="396"/>
      <c r="L12" s="593"/>
      <c r="M12" s="629">
        <f t="shared" si="6"/>
        <v>0</v>
      </c>
      <c r="N12" s="629">
        <f>IF(F12="y",(((L12+M12)*Rates!I380))/24,((L12+M12)/24))</f>
        <v>0</v>
      </c>
      <c r="O12" s="629">
        <f t="shared" si="7"/>
        <v>0</v>
      </c>
      <c r="P12" s="629">
        <f t="shared" si="8"/>
        <v>0</v>
      </c>
      <c r="Q12" s="659">
        <f t="shared" si="9"/>
        <v>0</v>
      </c>
      <c r="R12" s="658">
        <f t="shared" si="10"/>
        <v>0</v>
      </c>
      <c r="S12" s="63"/>
      <c r="T12" s="462"/>
      <c r="U12" s="1124">
        <f t="shared" si="11"/>
        <v>0</v>
      </c>
      <c r="V12" s="1125"/>
      <c r="W12" s="396"/>
      <c r="X12" s="481"/>
      <c r="Y12" s="659">
        <f>IF(X12="",0,ROUND(VLOOKUP(X12,Compsch!$A$10:$B$509,2),2))</f>
        <v>0</v>
      </c>
      <c r="Z12" s="659">
        <f t="shared" si="0"/>
        <v>0</v>
      </c>
      <c r="AA12" s="659">
        <f t="shared" si="12"/>
        <v>0</v>
      </c>
      <c r="AB12" s="671"/>
      <c r="AC12" s="662">
        <f>IFERROR(IF(AB12="",0,ROUND((VLOOKUP(X12,Compsch!$A$11:$I$390,9)-(VLOOKUP(X12,Compsch!$A$11:$I$390,7)))*(VLOOKUP(AB12,MeritSch!$A$5:$B$370,2)),0)),0)</f>
        <v>0</v>
      </c>
      <c r="AD12" s="659">
        <f t="shared" si="1"/>
        <v>0</v>
      </c>
      <c r="AE12" s="665">
        <f t="shared" si="13"/>
        <v>0</v>
      </c>
      <c r="AF12" s="630">
        <f>IF(F12="y",((((Y12+Z12+AE12)*U12)*Rates!$I$379))/24,(((Y12+Z12+AE12)*U12)/24))</f>
        <v>0</v>
      </c>
      <c r="AG12" s="669" t="b">
        <f t="shared" si="2"/>
        <v>0</v>
      </c>
      <c r="AH12" s="672"/>
      <c r="AI12" s="643">
        <f>IF(F12="y",(AG12*Rates!$I$362+AH12),(AG12+AH12))</f>
        <v>0</v>
      </c>
      <c r="AJ12" s="659">
        <f t="shared" si="3"/>
        <v>0</v>
      </c>
      <c r="AK12" s="670">
        <f t="shared" si="4"/>
        <v>0</v>
      </c>
    </row>
    <row r="13" spans="1:48" ht="26.25" customHeight="1" x14ac:dyDescent="0.2">
      <c r="A13" s="37">
        <v>4</v>
      </c>
      <c r="B13" s="509"/>
      <c r="C13" s="510"/>
      <c r="D13" s="511"/>
      <c r="E13" s="512"/>
      <c r="F13" s="513"/>
      <c r="G13" s="482"/>
      <c r="H13" s="70"/>
      <c r="I13" s="1124">
        <f t="shared" si="5"/>
        <v>0</v>
      </c>
      <c r="J13" s="1125"/>
      <c r="K13" s="396"/>
      <c r="L13" s="593"/>
      <c r="M13" s="629">
        <f t="shared" si="6"/>
        <v>0</v>
      </c>
      <c r="N13" s="629">
        <f>IF(F13="y",(((L13+M13)*Rates!I381))/24,((L13+M13)/24))</f>
        <v>0</v>
      </c>
      <c r="O13" s="629">
        <f t="shared" si="7"/>
        <v>0</v>
      </c>
      <c r="P13" s="629">
        <f t="shared" si="8"/>
        <v>0</v>
      </c>
      <c r="Q13" s="659">
        <f t="shared" si="9"/>
        <v>0</v>
      </c>
      <c r="R13" s="658">
        <f t="shared" si="10"/>
        <v>0</v>
      </c>
      <c r="S13" s="63"/>
      <c r="T13" s="462"/>
      <c r="U13" s="1124">
        <f t="shared" si="11"/>
        <v>0</v>
      </c>
      <c r="V13" s="1125"/>
      <c r="W13" s="396"/>
      <c r="X13" s="481"/>
      <c r="Y13" s="659">
        <f>IF(X13="",0,ROUND(VLOOKUP(X13,Compsch!$A$10:$B$509,2),2))</f>
        <v>0</v>
      </c>
      <c r="Z13" s="659">
        <f t="shared" si="0"/>
        <v>0</v>
      </c>
      <c r="AA13" s="659">
        <f t="shared" si="12"/>
        <v>0</v>
      </c>
      <c r="AB13" s="671"/>
      <c r="AC13" s="662">
        <f>IFERROR(IF(AB13="",0,ROUND((VLOOKUP(X13,Compsch!$A$11:$I$390,9)-(VLOOKUP(X13,Compsch!$A$11:$I$390,7)))*(VLOOKUP(AB13,MeritSch!$A$5:$B$370,2)),0)),0)</f>
        <v>0</v>
      </c>
      <c r="AD13" s="659">
        <f t="shared" si="1"/>
        <v>0</v>
      </c>
      <c r="AE13" s="665">
        <f t="shared" si="13"/>
        <v>0</v>
      </c>
      <c r="AF13" s="630">
        <f>IF(F13="y",((((Y13+Z13+AE13)*U13)*Rates!$I$379))/24,(((Y13+Z13+AE13)*U13)/24))</f>
        <v>0</v>
      </c>
      <c r="AG13" s="669" t="b">
        <f t="shared" si="2"/>
        <v>0</v>
      </c>
      <c r="AH13" s="672"/>
      <c r="AI13" s="643">
        <f>IF(F13="y",(AG13*Rates!$I$362+AH13),(AG13+AH13))</f>
        <v>0</v>
      </c>
      <c r="AJ13" s="659">
        <f t="shared" si="3"/>
        <v>0</v>
      </c>
      <c r="AK13" s="670">
        <f t="shared" si="4"/>
        <v>0</v>
      </c>
    </row>
    <row r="14" spans="1:48" ht="26.25" customHeight="1" x14ac:dyDescent="0.2">
      <c r="A14" s="37">
        <v>5</v>
      </c>
      <c r="B14" s="509"/>
      <c r="C14" s="510"/>
      <c r="D14" s="511"/>
      <c r="E14" s="512"/>
      <c r="F14" s="513"/>
      <c r="G14" s="482"/>
      <c r="H14" s="70"/>
      <c r="I14" s="1124">
        <f t="shared" si="5"/>
        <v>0</v>
      </c>
      <c r="J14" s="1125"/>
      <c r="K14" s="396"/>
      <c r="L14" s="593"/>
      <c r="M14" s="629">
        <f t="shared" si="6"/>
        <v>0</v>
      </c>
      <c r="N14" s="629">
        <f>IF(F14="y",(((L14+M14)*Rates!I382))/24,((L14+M14)/24))</f>
        <v>0</v>
      </c>
      <c r="O14" s="629">
        <f t="shared" si="7"/>
        <v>0</v>
      </c>
      <c r="P14" s="629">
        <f t="shared" si="8"/>
        <v>0</v>
      </c>
      <c r="Q14" s="659">
        <f t="shared" si="9"/>
        <v>0</v>
      </c>
      <c r="R14" s="658">
        <f t="shared" si="10"/>
        <v>0</v>
      </c>
      <c r="S14" s="63"/>
      <c r="T14" s="462"/>
      <c r="U14" s="1124">
        <f t="shared" si="11"/>
        <v>0</v>
      </c>
      <c r="V14" s="1125"/>
      <c r="W14" s="396"/>
      <c r="X14" s="481"/>
      <c r="Y14" s="659">
        <f>IF(X14="",0,ROUND(VLOOKUP(X14,Compsch!$A$10:$B$509,2),2))</f>
        <v>0</v>
      </c>
      <c r="Z14" s="659">
        <f t="shared" si="0"/>
        <v>0</v>
      </c>
      <c r="AA14" s="659">
        <f t="shared" si="12"/>
        <v>0</v>
      </c>
      <c r="AB14" s="671"/>
      <c r="AC14" s="662">
        <f>IFERROR(IF(AB14="",0,ROUND((VLOOKUP(X14,Compsch!$A$11:$I$390,9)-(VLOOKUP(X14,Compsch!$A$11:$I$390,7)))*(VLOOKUP(AB14,MeritSch!$A$5:$B$370,2)),0)),0)</f>
        <v>0</v>
      </c>
      <c r="AD14" s="659">
        <f t="shared" si="1"/>
        <v>0</v>
      </c>
      <c r="AE14" s="665">
        <f t="shared" si="13"/>
        <v>0</v>
      </c>
      <c r="AF14" s="630">
        <f>IF(F14="y",((((Y14+Z14+AE14)*U14)*Rates!$I$379))/24,(((Y14+Z14+AE14)*U14)/24))</f>
        <v>0</v>
      </c>
      <c r="AG14" s="669" t="b">
        <f t="shared" si="2"/>
        <v>0</v>
      </c>
      <c r="AH14" s="672"/>
      <c r="AI14" s="643">
        <f>IF(F14="y",(AG14*Rates!$I$362+AH14),(AG14+AH14))</f>
        <v>0</v>
      </c>
      <c r="AJ14" s="659">
        <f t="shared" si="3"/>
        <v>0</v>
      </c>
      <c r="AK14" s="670">
        <f t="shared" si="4"/>
        <v>0</v>
      </c>
    </row>
    <row r="15" spans="1:48" ht="27" customHeight="1" x14ac:dyDescent="0.2">
      <c r="A15" s="37">
        <v>6</v>
      </c>
      <c r="B15" s="509"/>
      <c r="C15" s="510"/>
      <c r="D15" s="511"/>
      <c r="E15" s="512"/>
      <c r="F15" s="513"/>
      <c r="G15" s="482"/>
      <c r="H15" s="70"/>
      <c r="I15" s="1124">
        <f t="shared" si="5"/>
        <v>0</v>
      </c>
      <c r="J15" s="1125"/>
      <c r="K15" s="396"/>
      <c r="L15" s="593"/>
      <c r="M15" s="629">
        <f t="shared" si="6"/>
        <v>0</v>
      </c>
      <c r="N15" s="629">
        <f>IF(F15="y",(((L15+M15)*Rates!I383))/24,((L15+M15)/24))</f>
        <v>0</v>
      </c>
      <c r="O15" s="629">
        <f t="shared" si="7"/>
        <v>0</v>
      </c>
      <c r="P15" s="629">
        <f t="shared" si="8"/>
        <v>0</v>
      </c>
      <c r="Q15" s="659">
        <f t="shared" si="9"/>
        <v>0</v>
      </c>
      <c r="R15" s="658">
        <f t="shared" si="10"/>
        <v>0</v>
      </c>
      <c r="S15" s="63"/>
      <c r="T15" s="462"/>
      <c r="U15" s="1124">
        <f t="shared" si="11"/>
        <v>0</v>
      </c>
      <c r="V15" s="1125"/>
      <c r="W15" s="396"/>
      <c r="X15" s="481"/>
      <c r="Y15" s="659">
        <f>IF(X15="",0,ROUND(VLOOKUP(X15,Compsch!$A$10:$B$509,2),2))</f>
        <v>0</v>
      </c>
      <c r="Z15" s="659">
        <f t="shared" si="0"/>
        <v>0</v>
      </c>
      <c r="AA15" s="659">
        <f t="shared" si="12"/>
        <v>0</v>
      </c>
      <c r="AB15" s="671"/>
      <c r="AC15" s="662">
        <f>IFERROR(IF(AB15="",0,ROUND((VLOOKUP(X15,Compsch!$A$11:$I$390,9)-(VLOOKUP(X15,Compsch!$A$11:$I$390,7)))*(VLOOKUP(AB15,MeritSch!$A$5:$B$370,2)),0)),0)</f>
        <v>0</v>
      </c>
      <c r="AD15" s="659">
        <f t="shared" si="1"/>
        <v>0</v>
      </c>
      <c r="AE15" s="665">
        <f t="shared" si="13"/>
        <v>0</v>
      </c>
      <c r="AF15" s="630">
        <f>IF(F15="y",((((Y15+Z15+AE15)*U15)*Rates!$I$379))/24,(((Y15+Z15+AE15)*U15)/24))</f>
        <v>0</v>
      </c>
      <c r="AG15" s="669" t="b">
        <f t="shared" si="2"/>
        <v>0</v>
      </c>
      <c r="AH15" s="672"/>
      <c r="AI15" s="643">
        <f>IF(F15="y",(AG15*Rates!$I$362+AH15),(AG15+AH15))</f>
        <v>0</v>
      </c>
      <c r="AJ15" s="659">
        <f t="shared" si="3"/>
        <v>0</v>
      </c>
      <c r="AK15" s="670">
        <f t="shared" si="4"/>
        <v>0</v>
      </c>
    </row>
    <row r="16" spans="1:48" ht="27" customHeight="1" x14ac:dyDescent="0.2">
      <c r="A16" s="37">
        <v>7</v>
      </c>
      <c r="B16" s="509"/>
      <c r="C16" s="510"/>
      <c r="D16" s="511"/>
      <c r="E16" s="512"/>
      <c r="F16" s="513"/>
      <c r="G16" s="482"/>
      <c r="H16" s="70"/>
      <c r="I16" s="1124">
        <f t="shared" si="5"/>
        <v>0</v>
      </c>
      <c r="J16" s="1125"/>
      <c r="K16" s="396"/>
      <c r="L16" s="593"/>
      <c r="M16" s="629">
        <f t="shared" si="6"/>
        <v>0</v>
      </c>
      <c r="N16" s="629">
        <f>IF(F16="y",(((L16+M16)*Rates!I384))/24,((L16+M16)/24))</f>
        <v>0</v>
      </c>
      <c r="O16" s="629">
        <f t="shared" si="7"/>
        <v>0</v>
      </c>
      <c r="P16" s="629">
        <f t="shared" si="8"/>
        <v>0</v>
      </c>
      <c r="Q16" s="659">
        <f t="shared" si="9"/>
        <v>0</v>
      </c>
      <c r="R16" s="658">
        <f t="shared" si="10"/>
        <v>0</v>
      </c>
      <c r="S16" s="63"/>
      <c r="T16" s="462"/>
      <c r="U16" s="1124">
        <f t="shared" si="11"/>
        <v>0</v>
      </c>
      <c r="V16" s="1125"/>
      <c r="W16" s="396"/>
      <c r="X16" s="481"/>
      <c r="Y16" s="659">
        <f>IF(X16="",0,ROUND(VLOOKUP(X16,Compsch!$A$10:$B$509,2),2))</f>
        <v>0</v>
      </c>
      <c r="Z16" s="659">
        <f t="shared" si="0"/>
        <v>0</v>
      </c>
      <c r="AA16" s="659">
        <f t="shared" si="12"/>
        <v>0</v>
      </c>
      <c r="AB16" s="671"/>
      <c r="AC16" s="662">
        <f>IFERROR(IF(AB16="",0,ROUND((VLOOKUP(X16,Compsch!$A$11:$I$390,9)-(VLOOKUP(X16,Compsch!$A$11:$I$390,7)))*(VLOOKUP(AB16,MeritSch!$A$5:$B$370,2)),0)),0)</f>
        <v>0</v>
      </c>
      <c r="AD16" s="659">
        <f t="shared" si="1"/>
        <v>0</v>
      </c>
      <c r="AE16" s="665">
        <f t="shared" si="13"/>
        <v>0</v>
      </c>
      <c r="AF16" s="630">
        <f>IF(F16="y",((((Y16+Z16+AE16)*U16)*Rates!$I$379))/24,(((Y16+Z16+AE16)*U16)/24))</f>
        <v>0</v>
      </c>
      <c r="AG16" s="669" t="b">
        <f t="shared" si="2"/>
        <v>0</v>
      </c>
      <c r="AH16" s="672"/>
      <c r="AI16" s="643">
        <f>IF(F16="y",(AG16*Rates!$I$362+AH16),(AG16+AH16))</f>
        <v>0</v>
      </c>
      <c r="AJ16" s="659">
        <f t="shared" si="3"/>
        <v>0</v>
      </c>
      <c r="AK16" s="670">
        <f t="shared" si="4"/>
        <v>0</v>
      </c>
    </row>
    <row r="17" spans="1:37" ht="27" customHeight="1" x14ac:dyDescent="0.2">
      <c r="A17" s="37">
        <v>8</v>
      </c>
      <c r="B17" s="509"/>
      <c r="C17" s="510"/>
      <c r="D17" s="511"/>
      <c r="E17" s="512"/>
      <c r="F17" s="513"/>
      <c r="G17" s="482"/>
      <c r="H17" s="70"/>
      <c r="I17" s="1124">
        <f t="shared" si="5"/>
        <v>0</v>
      </c>
      <c r="J17" s="1125"/>
      <c r="K17" s="396"/>
      <c r="L17" s="593"/>
      <c r="M17" s="629">
        <f t="shared" si="6"/>
        <v>0</v>
      </c>
      <c r="N17" s="629">
        <f>IF(F17="y",(((L17+M17)*Rates!I385))/24,((L17+M17)/24))</f>
        <v>0</v>
      </c>
      <c r="O17" s="629">
        <f t="shared" si="7"/>
        <v>0</v>
      </c>
      <c r="P17" s="629">
        <f t="shared" si="8"/>
        <v>0</v>
      </c>
      <c r="Q17" s="659">
        <f t="shared" si="9"/>
        <v>0</v>
      </c>
      <c r="R17" s="658">
        <f t="shared" si="10"/>
        <v>0</v>
      </c>
      <c r="S17" s="63"/>
      <c r="T17" s="462"/>
      <c r="U17" s="1124">
        <f t="shared" si="11"/>
        <v>0</v>
      </c>
      <c r="V17" s="1125"/>
      <c r="W17" s="396"/>
      <c r="X17" s="481"/>
      <c r="Y17" s="659">
        <f>IF(X17="",0,ROUND(VLOOKUP(X17,Compsch!$A$10:$B$509,2),2))</f>
        <v>0</v>
      </c>
      <c r="Z17" s="659">
        <f t="shared" si="0"/>
        <v>0</v>
      </c>
      <c r="AA17" s="659">
        <f t="shared" si="12"/>
        <v>0</v>
      </c>
      <c r="AB17" s="671"/>
      <c r="AC17" s="662">
        <f>IFERROR(IF(AB17="",0,ROUND((VLOOKUP(X17,Compsch!$A$11:$I$390,9)-(VLOOKUP(X17,Compsch!$A$11:$I$390,7)))*(VLOOKUP(AB17,MeritSch!$A$5:$B$370,2)),0)),0)</f>
        <v>0</v>
      </c>
      <c r="AD17" s="659">
        <f t="shared" si="1"/>
        <v>0</v>
      </c>
      <c r="AE17" s="665">
        <f t="shared" si="13"/>
        <v>0</v>
      </c>
      <c r="AF17" s="630">
        <f>IF(F17="y",((((Y17+Z17+AE17)*U17)*Rates!$I$379))/24,(((Y17+Z17+AE17)*U17)/24))</f>
        <v>0</v>
      </c>
      <c r="AG17" s="669" t="b">
        <f t="shared" si="2"/>
        <v>0</v>
      </c>
      <c r="AH17" s="672"/>
      <c r="AI17" s="643">
        <f>IF(F17="y",(AG17*Rates!$I$362+AH17),(AG17+AH17))</f>
        <v>0</v>
      </c>
      <c r="AJ17" s="659">
        <f t="shared" si="3"/>
        <v>0</v>
      </c>
      <c r="AK17" s="670">
        <f t="shared" si="4"/>
        <v>0</v>
      </c>
    </row>
    <row r="18" spans="1:37" ht="27" customHeight="1" x14ac:dyDescent="0.2">
      <c r="A18" s="37">
        <v>9</v>
      </c>
      <c r="B18" s="509"/>
      <c r="C18" s="510"/>
      <c r="D18" s="511"/>
      <c r="E18" s="512"/>
      <c r="F18" s="513"/>
      <c r="G18" s="482"/>
      <c r="H18" s="70"/>
      <c r="I18" s="1124">
        <f t="shared" si="5"/>
        <v>0</v>
      </c>
      <c r="J18" s="1125"/>
      <c r="K18" s="396"/>
      <c r="L18" s="593"/>
      <c r="M18" s="629">
        <f t="shared" si="6"/>
        <v>0</v>
      </c>
      <c r="N18" s="629">
        <f>IF(F18="y",(((L18+M18)*Rates!I386))/24,((L18+M18)/24))</f>
        <v>0</v>
      </c>
      <c r="O18" s="629">
        <f t="shared" si="7"/>
        <v>0</v>
      </c>
      <c r="P18" s="629">
        <f t="shared" si="8"/>
        <v>0</v>
      </c>
      <c r="Q18" s="659">
        <f t="shared" si="9"/>
        <v>0</v>
      </c>
      <c r="R18" s="658">
        <f t="shared" si="10"/>
        <v>0</v>
      </c>
      <c r="S18" s="63"/>
      <c r="T18" s="462"/>
      <c r="U18" s="1124">
        <f t="shared" si="11"/>
        <v>0</v>
      </c>
      <c r="V18" s="1125"/>
      <c r="W18" s="396"/>
      <c r="X18" s="481"/>
      <c r="Y18" s="659">
        <f>IF(X18="",0,ROUND(VLOOKUP(X18,Compsch!$A$10:$B$509,2),2))</f>
        <v>0</v>
      </c>
      <c r="Z18" s="659">
        <f t="shared" si="0"/>
        <v>0</v>
      </c>
      <c r="AA18" s="659">
        <f t="shared" si="12"/>
        <v>0</v>
      </c>
      <c r="AB18" s="671"/>
      <c r="AC18" s="662">
        <f>IFERROR(IF(AB18="",0,ROUND((VLOOKUP(X18,Compsch!$A$11:$I$390,9)-(VLOOKUP(X18,Compsch!$A$11:$I$390,7)))*(VLOOKUP(AB18,MeritSch!$A$5:$B$370,2)),0)),0)</f>
        <v>0</v>
      </c>
      <c r="AD18" s="659">
        <f t="shared" si="1"/>
        <v>0</v>
      </c>
      <c r="AE18" s="665">
        <f t="shared" si="13"/>
        <v>0</v>
      </c>
      <c r="AF18" s="630">
        <f>IF(F18="y",((((Y18+Z18+AE18)*U18)*Rates!$I$379))/24,(((Y18+Z18+AE18)*U18)/24))</f>
        <v>0</v>
      </c>
      <c r="AG18" s="669" t="b">
        <f t="shared" si="2"/>
        <v>0</v>
      </c>
      <c r="AH18" s="672"/>
      <c r="AI18" s="643">
        <f>IF(F18="y",(AG18*Rates!$I$362+AH18),(AG18+AH18))</f>
        <v>0</v>
      </c>
      <c r="AJ18" s="659">
        <f t="shared" si="3"/>
        <v>0</v>
      </c>
      <c r="AK18" s="670">
        <f t="shared" si="4"/>
        <v>0</v>
      </c>
    </row>
    <row r="19" spans="1:37" ht="27" customHeight="1" x14ac:dyDescent="0.2">
      <c r="A19" s="37">
        <v>10</v>
      </c>
      <c r="B19" s="509"/>
      <c r="C19" s="510"/>
      <c r="D19" s="511"/>
      <c r="E19" s="512"/>
      <c r="F19" s="513"/>
      <c r="G19" s="482"/>
      <c r="H19" s="70"/>
      <c r="I19" s="1124">
        <f t="shared" si="5"/>
        <v>0</v>
      </c>
      <c r="J19" s="1125"/>
      <c r="K19" s="396"/>
      <c r="L19" s="593"/>
      <c r="M19" s="629">
        <f t="shared" si="6"/>
        <v>0</v>
      </c>
      <c r="N19" s="629">
        <f>IF(F19="y",(((L19+M19)*Rates!I387))/24,((L19+M19)/24))</f>
        <v>0</v>
      </c>
      <c r="O19" s="629">
        <f t="shared" si="7"/>
        <v>0</v>
      </c>
      <c r="P19" s="629">
        <f t="shared" si="8"/>
        <v>0</v>
      </c>
      <c r="Q19" s="659">
        <f t="shared" si="9"/>
        <v>0</v>
      </c>
      <c r="R19" s="658">
        <f t="shared" si="10"/>
        <v>0</v>
      </c>
      <c r="S19" s="63"/>
      <c r="T19" s="462"/>
      <c r="U19" s="1124">
        <f t="shared" si="11"/>
        <v>0</v>
      </c>
      <c r="V19" s="1125"/>
      <c r="W19" s="396"/>
      <c r="X19" s="481"/>
      <c r="Y19" s="659">
        <f>IF(X19="",0,ROUND(VLOOKUP(X19,Compsch!$A$10:$B$509,2),2))</f>
        <v>0</v>
      </c>
      <c r="Z19" s="659">
        <f t="shared" si="0"/>
        <v>0</v>
      </c>
      <c r="AA19" s="659">
        <f t="shared" si="12"/>
        <v>0</v>
      </c>
      <c r="AB19" s="671"/>
      <c r="AC19" s="662">
        <f>IFERROR(IF(AB19="",0,ROUND((VLOOKUP(X19,Compsch!$A$11:$I$390,9)-(VLOOKUP(X19,Compsch!$A$11:$I$390,7)))*(VLOOKUP(AB19,MeritSch!$A$5:$B$370,2)),0)),0)</f>
        <v>0</v>
      </c>
      <c r="AD19" s="659">
        <f t="shared" si="1"/>
        <v>0</v>
      </c>
      <c r="AE19" s="665">
        <f t="shared" si="13"/>
        <v>0</v>
      </c>
      <c r="AF19" s="630">
        <f>IF(F19="y",((((Y19+Z19+AE19)*U19)*Rates!$I$379))/24,(((Y19+Z19+AE19)*U19)/24))</f>
        <v>0</v>
      </c>
      <c r="AG19" s="669" t="b">
        <f t="shared" si="2"/>
        <v>0</v>
      </c>
      <c r="AH19" s="672"/>
      <c r="AI19" s="643">
        <f>IF(F19="y",(AG19*Rates!$I$362+AH19),(AG19+AH19))</f>
        <v>0</v>
      </c>
      <c r="AJ19" s="659">
        <f t="shared" si="3"/>
        <v>0</v>
      </c>
      <c r="AK19" s="670">
        <f t="shared" si="4"/>
        <v>0</v>
      </c>
    </row>
    <row r="20" spans="1:37" x14ac:dyDescent="0.2">
      <c r="A20" s="112"/>
      <c r="B20" s="126"/>
      <c r="C20" s="127"/>
      <c r="D20" s="126"/>
      <c r="E20" s="126"/>
      <c r="F20" s="126"/>
      <c r="G20" s="126"/>
      <c r="H20" s="126"/>
      <c r="I20" s="126"/>
      <c r="J20" s="126"/>
      <c r="K20" s="126"/>
      <c r="L20" s="126"/>
      <c r="M20" s="126"/>
      <c r="N20" s="126"/>
      <c r="O20" s="126"/>
      <c r="P20" s="126"/>
      <c r="Q20" s="126"/>
      <c r="R20" s="126"/>
      <c r="S20" s="126"/>
      <c r="T20" s="126"/>
      <c r="U20" s="126"/>
      <c r="V20" s="126"/>
      <c r="W20" s="126"/>
      <c r="X20" s="784"/>
      <c r="Y20" s="126"/>
      <c r="Z20" s="126"/>
      <c r="AA20" s="126"/>
      <c r="AB20" s="126"/>
      <c r="AC20" s="126"/>
      <c r="AD20" s="126"/>
      <c r="AE20" s="126"/>
      <c r="AF20" s="126"/>
      <c r="AG20" s="126"/>
      <c r="AH20" s="126"/>
      <c r="AI20" s="126"/>
      <c r="AJ20" s="126"/>
      <c r="AK20" s="126"/>
    </row>
    <row r="21" spans="1:37" s="63" customFormat="1" ht="25.5" customHeight="1" x14ac:dyDescent="0.2">
      <c r="A21" s="112"/>
      <c r="B21" s="78" t="s">
        <v>655</v>
      </c>
      <c r="C21" s="829" t="s">
        <v>1107</v>
      </c>
      <c r="D21" s="78"/>
      <c r="E21" s="78"/>
      <c r="F21" s="55"/>
      <c r="G21" s="55"/>
      <c r="H21" s="111"/>
      <c r="I21" s="653">
        <f>ROUND(SUM(I10:I19),2)</f>
        <v>0</v>
      </c>
      <c r="J21" s="653">
        <f>SUM(J10:J19)</f>
        <v>0</v>
      </c>
      <c r="M21" s="654">
        <f>SUM(M10:M20)</f>
        <v>0</v>
      </c>
      <c r="O21" s="654">
        <f>SUM(O10:O20)</f>
        <v>0</v>
      </c>
      <c r="P21" s="654">
        <f>SUM(P10:P20)</f>
        <v>0</v>
      </c>
      <c r="R21" s="654">
        <f>ROUND(SUM(R10:R19),0)</f>
        <v>0</v>
      </c>
      <c r="U21" s="653">
        <f>ROUND(SUM(U10:U19),2)</f>
        <v>0</v>
      </c>
      <c r="V21" s="653">
        <f>SUM(V10:V19)</f>
        <v>0</v>
      </c>
      <c r="X21" s="785"/>
      <c r="Y21" s="654">
        <f>SUM(Y10:Y20)</f>
        <v>0</v>
      </c>
      <c r="Z21" s="654">
        <f>SUM(Z10:Z20)</f>
        <v>0</v>
      </c>
      <c r="AA21" s="56"/>
      <c r="AC21" s="654">
        <f>SUM(AC10:AC20)</f>
        <v>0</v>
      </c>
      <c r="AD21" s="126"/>
      <c r="AE21" s="126"/>
      <c r="AI21" s="654">
        <f>ROUND(SUM(AI10:AI19),0)</f>
        <v>0</v>
      </c>
      <c r="AK21" s="654">
        <f>ROUND(SUM(AK10:AK19),0)</f>
        <v>0</v>
      </c>
    </row>
    <row r="22" spans="1:37" s="63" customFormat="1" x14ac:dyDescent="0.2">
      <c r="A22" s="112"/>
      <c r="I22" s="56" t="s">
        <v>243</v>
      </c>
      <c r="J22" s="56" t="s">
        <v>243</v>
      </c>
      <c r="M22" s="56" t="s">
        <v>653</v>
      </c>
      <c r="O22" s="56" t="s">
        <v>17</v>
      </c>
      <c r="P22" s="56" t="s">
        <v>534</v>
      </c>
      <c r="R22" s="56" t="s">
        <v>18</v>
      </c>
      <c r="U22" s="56" t="s">
        <v>243</v>
      </c>
      <c r="V22" s="56" t="s">
        <v>243</v>
      </c>
      <c r="X22" s="785"/>
      <c r="Y22" s="56" t="s">
        <v>654</v>
      </c>
      <c r="Z22" s="56" t="s">
        <v>643</v>
      </c>
      <c r="AA22" s="56"/>
      <c r="AI22" s="56" t="s">
        <v>534</v>
      </c>
      <c r="AK22" s="80" t="s">
        <v>18</v>
      </c>
    </row>
    <row r="23" spans="1:37" s="63" customFormat="1" ht="12.75" x14ac:dyDescent="0.2">
      <c r="A23" s="112"/>
      <c r="B23" s="1433" t="str">
        <f>'SUMMARY FORM'!N15&amp;" INSTRUCTIONS HIGHLIGHT:  Classified Step Increases"</f>
        <v>FY21 INSTRUCTIONS HIGHLIGHT:  Classified Step Increases</v>
      </c>
      <c r="C23" s="1434"/>
      <c r="D23" s="1434"/>
      <c r="E23" s="1434"/>
      <c r="F23" s="1434"/>
      <c r="G23" s="1434"/>
      <c r="H23" s="1434"/>
      <c r="I23" s="1434"/>
      <c r="J23" s="1435"/>
      <c r="K23" s="1434"/>
      <c r="L23" s="1436"/>
      <c r="M23" s="830"/>
      <c r="N23" s="830"/>
      <c r="O23" s="830"/>
      <c r="P23" s="830"/>
      <c r="Q23" s="830"/>
      <c r="R23" s="830"/>
      <c r="S23" s="830"/>
      <c r="T23" s="830"/>
      <c r="U23" s="831"/>
      <c r="V23" s="831"/>
      <c r="W23" s="830"/>
      <c r="X23" s="785"/>
      <c r="Y23" s="830"/>
      <c r="Z23" s="830"/>
      <c r="AA23" s="830"/>
      <c r="AB23" s="830"/>
      <c r="AC23" s="830"/>
      <c r="AD23" s="830"/>
      <c r="AE23" s="830"/>
      <c r="AF23" s="830"/>
      <c r="AG23" s="830"/>
      <c r="AH23" s="830"/>
      <c r="AI23" s="830"/>
      <c r="AJ23" s="830"/>
      <c r="AK23" s="830"/>
    </row>
    <row r="24" spans="1:37" s="63" customFormat="1" ht="12.75" x14ac:dyDescent="0.2">
      <c r="A24" s="112"/>
      <c r="B24" s="1424" t="s">
        <v>857</v>
      </c>
      <c r="C24" s="1425"/>
      <c r="D24" s="1426" t="s">
        <v>853</v>
      </c>
      <c r="E24" s="1426"/>
      <c r="F24" s="1426"/>
      <c r="G24" s="1426"/>
      <c r="H24" s="1426"/>
      <c r="I24" s="832"/>
      <c r="J24" s="832"/>
      <c r="K24" s="832"/>
      <c r="L24" s="832"/>
      <c r="M24" s="832"/>
      <c r="N24" s="832"/>
      <c r="O24" s="832"/>
      <c r="P24" s="832"/>
      <c r="Q24" s="834"/>
      <c r="R24" s="832"/>
      <c r="S24" s="832"/>
      <c r="T24" s="832"/>
      <c r="U24" s="832"/>
      <c r="V24" s="832"/>
      <c r="W24" s="832"/>
      <c r="X24" s="832"/>
      <c r="Y24" s="832"/>
      <c r="Z24" s="832"/>
      <c r="AA24" s="832"/>
      <c r="AB24" s="832"/>
      <c r="AC24" s="832"/>
      <c r="AD24" s="832"/>
      <c r="AE24" s="832"/>
      <c r="AF24" s="832"/>
      <c r="AG24" s="832"/>
      <c r="AH24" s="832"/>
      <c r="AI24" s="832"/>
    </row>
    <row r="25" spans="1:37" s="63" customFormat="1" ht="12.75" x14ac:dyDescent="0.2">
      <c r="A25" s="112"/>
      <c r="B25" s="1442" t="str">
        <f>'FORM E2'!B120:C120</f>
        <v>If Date falls before 6/30/20:</v>
      </c>
      <c r="C25" s="1442"/>
      <c r="D25" s="1443" t="s">
        <v>856</v>
      </c>
      <c r="E25" s="1443"/>
      <c r="F25" s="1443"/>
      <c r="G25" s="1443"/>
      <c r="H25" s="1443"/>
      <c r="I25" s="832"/>
      <c r="J25" s="832"/>
      <c r="K25" s="832"/>
      <c r="L25" s="832"/>
      <c r="M25" s="832"/>
      <c r="N25" s="832"/>
      <c r="O25" s="832"/>
      <c r="P25" s="832"/>
      <c r="Q25" s="834"/>
      <c r="R25" s="832"/>
      <c r="S25" s="832"/>
      <c r="T25" s="832"/>
      <c r="U25" s="832"/>
      <c r="V25" s="832"/>
      <c r="W25" s="832"/>
      <c r="X25" s="832"/>
      <c r="Y25" s="832"/>
      <c r="Z25" s="832"/>
      <c r="AA25" s="832"/>
      <c r="AB25" s="832"/>
      <c r="AC25" s="832"/>
      <c r="AD25" s="832"/>
      <c r="AE25" s="832"/>
      <c r="AF25" s="832"/>
      <c r="AG25" s="832"/>
      <c r="AH25" s="832"/>
      <c r="AI25" s="832"/>
    </row>
    <row r="26" spans="1:37" s="63" customFormat="1" ht="12.75" x14ac:dyDescent="0.2">
      <c r="A26" s="112"/>
      <c r="B26" s="1442" t="str">
        <f>'FORM E2'!B121:C121</f>
        <v>If Date falls on 7/1/20 or later:</v>
      </c>
      <c r="C26" s="1442"/>
      <c r="D26" s="1443" t="s">
        <v>855</v>
      </c>
      <c r="E26" s="1443"/>
      <c r="F26" s="1443"/>
      <c r="G26" s="1443"/>
      <c r="H26" s="1443"/>
      <c r="I26" s="832"/>
      <c r="J26" s="832"/>
      <c r="L26" s="832"/>
      <c r="M26" s="832"/>
      <c r="N26" s="832"/>
      <c r="O26" s="832"/>
      <c r="P26" s="832"/>
      <c r="Q26" s="834"/>
      <c r="R26" s="832"/>
      <c r="S26" s="832"/>
      <c r="T26" s="832"/>
      <c r="U26" s="832"/>
      <c r="V26" s="832"/>
      <c r="W26" s="832"/>
      <c r="X26" s="832"/>
      <c r="Y26" s="832"/>
      <c r="Z26" s="832"/>
      <c r="AA26" s="832"/>
      <c r="AB26" s="832"/>
      <c r="AC26" s="832"/>
      <c r="AD26" s="832"/>
      <c r="AE26" s="832"/>
      <c r="AF26" s="832"/>
      <c r="AG26" s="832"/>
      <c r="AH26" s="832"/>
      <c r="AI26" s="832"/>
    </row>
    <row r="27" spans="1:37" s="63" customFormat="1" ht="12.75" x14ac:dyDescent="0.2">
      <c r="A27" s="112"/>
      <c r="B27" s="1439" t="str">
        <f>'FORM E2'!B123:N123</f>
        <v>Date of Record for Step 10 will be calculated as 07/01/21</v>
      </c>
      <c r="C27" s="1440"/>
      <c r="D27" s="1440"/>
      <c r="E27" s="1440"/>
      <c r="F27" s="1440"/>
      <c r="G27" s="1440"/>
      <c r="H27" s="1441"/>
      <c r="I27" s="832"/>
      <c r="J27" s="832"/>
      <c r="K27" s="832"/>
      <c r="L27" s="832"/>
      <c r="N27" s="832"/>
      <c r="O27" s="832"/>
      <c r="P27" s="832"/>
      <c r="Q27" s="833"/>
      <c r="R27" s="832"/>
      <c r="S27" s="834"/>
      <c r="T27" s="832"/>
      <c r="U27" s="832"/>
      <c r="V27" s="832"/>
      <c r="W27" s="832"/>
      <c r="X27" s="832"/>
      <c r="Y27" s="832"/>
      <c r="Z27" s="832"/>
      <c r="AA27" s="832"/>
      <c r="AB27" s="832"/>
      <c r="AC27" s="832"/>
      <c r="AD27" s="832"/>
      <c r="AE27" s="832"/>
      <c r="AF27" s="832"/>
      <c r="AG27" s="832"/>
      <c r="AH27" s="832"/>
      <c r="AI27" s="832"/>
    </row>
    <row r="28" spans="1:37" s="63" customFormat="1" ht="12.75" x14ac:dyDescent="0.2">
      <c r="A28" s="112"/>
      <c r="B28" s="1439" t="str">
        <f>'FORM E2'!B124:N124</f>
        <v>FY21 step entered should be the step as of 07/01/20.  The prorated FY21 merit will be calculated per the Date of Record.</v>
      </c>
      <c r="C28" s="1440"/>
      <c r="D28" s="1440"/>
      <c r="E28" s="1440"/>
      <c r="F28" s="1440"/>
      <c r="G28" s="1440"/>
      <c r="H28" s="1441"/>
      <c r="I28" s="832"/>
      <c r="J28" s="832"/>
      <c r="K28" s="832"/>
      <c r="L28" s="832"/>
      <c r="N28" s="832"/>
      <c r="O28" s="832"/>
      <c r="P28" s="832"/>
      <c r="Q28" s="833"/>
      <c r="R28" s="832"/>
      <c r="S28" s="834"/>
      <c r="T28" s="832"/>
      <c r="U28" s="832"/>
      <c r="V28" s="832"/>
      <c r="W28" s="832"/>
      <c r="X28" s="832"/>
      <c r="Y28" s="832"/>
      <c r="Z28" s="832"/>
      <c r="AA28" s="832"/>
      <c r="AB28" s="832"/>
      <c r="AC28" s="832"/>
      <c r="AD28" s="832"/>
      <c r="AE28" s="832"/>
      <c r="AF28" s="832"/>
      <c r="AG28" s="832"/>
      <c r="AH28" s="832"/>
      <c r="AI28" s="832"/>
    </row>
    <row r="29" spans="1:37" s="63" customFormat="1" ht="12.75" x14ac:dyDescent="0.2">
      <c r="A29" s="112"/>
      <c r="B29" s="832"/>
      <c r="C29" s="832"/>
      <c r="D29" s="832"/>
      <c r="E29" s="832"/>
      <c r="F29" s="832"/>
      <c r="G29" s="832"/>
      <c r="H29" s="832"/>
      <c r="I29" s="833"/>
      <c r="J29" s="833"/>
      <c r="K29" s="832"/>
      <c r="L29" s="832"/>
      <c r="M29" s="832"/>
      <c r="N29" s="832"/>
      <c r="O29" s="832"/>
      <c r="P29" s="832"/>
      <c r="Q29" s="832"/>
      <c r="R29" s="832"/>
      <c r="S29" s="832"/>
      <c r="T29" s="832"/>
      <c r="U29" s="833"/>
      <c r="V29" s="833"/>
      <c r="W29" s="832"/>
      <c r="X29" s="834"/>
      <c r="Y29" s="832"/>
      <c r="Z29" s="832"/>
      <c r="AA29" s="832"/>
      <c r="AB29" s="832"/>
      <c r="AC29" s="832"/>
      <c r="AD29" s="832"/>
      <c r="AE29" s="832"/>
      <c r="AF29" s="832"/>
      <c r="AG29" s="832"/>
      <c r="AH29" s="832"/>
      <c r="AI29" s="832"/>
      <c r="AJ29" s="832"/>
      <c r="AK29" s="832"/>
    </row>
    <row r="30" spans="1:37" s="63" customFormat="1" ht="12.75" x14ac:dyDescent="0.2">
      <c r="A30" s="112"/>
      <c r="B30" s="1437" t="str">
        <f>'SUMMARY FORM'!N15&amp;" INSTRUCTIONS HIGHLIGHT:  Temporary Grant Bridge Funding"</f>
        <v>FY21 INSTRUCTIONS HIGHLIGHT:  Temporary Grant Bridge Funding</v>
      </c>
      <c r="C30" s="1437"/>
      <c r="D30" s="1437"/>
      <c r="E30" s="1437"/>
      <c r="F30" s="1437"/>
      <c r="G30" s="832"/>
      <c r="H30" s="832"/>
      <c r="I30" s="833"/>
      <c r="J30" s="833"/>
      <c r="K30" s="832"/>
      <c r="L30" s="832"/>
      <c r="M30" s="832"/>
      <c r="N30" s="832"/>
      <c r="O30" s="832"/>
      <c r="P30" s="832"/>
      <c r="Q30" s="832"/>
      <c r="R30" s="832"/>
      <c r="S30" s="832"/>
      <c r="T30" s="832"/>
      <c r="U30" s="833"/>
      <c r="V30" s="833"/>
      <c r="W30" s="832"/>
      <c r="X30" s="832"/>
      <c r="Y30" s="832"/>
      <c r="Z30" s="832"/>
      <c r="AA30" s="832"/>
      <c r="AB30" s="832"/>
      <c r="AC30" s="832"/>
      <c r="AD30" s="832"/>
      <c r="AE30" s="832"/>
      <c r="AF30" s="832"/>
      <c r="AG30" s="832"/>
      <c r="AH30" s="832"/>
      <c r="AI30" s="832"/>
      <c r="AJ30" s="832"/>
      <c r="AK30" s="832"/>
    </row>
    <row r="31" spans="1:37" s="63" customFormat="1" ht="66.75" customHeight="1" x14ac:dyDescent="0.2">
      <c r="A31" s="112"/>
      <c r="B31" s="1438" t="s">
        <v>1108</v>
      </c>
      <c r="C31" s="1438"/>
      <c r="D31" s="1438"/>
      <c r="E31" s="1438"/>
      <c r="F31" s="1438"/>
      <c r="G31" s="832"/>
      <c r="H31" s="832"/>
      <c r="I31" s="833"/>
      <c r="J31" s="833"/>
      <c r="K31" s="832"/>
      <c r="L31" s="832"/>
      <c r="M31" s="832"/>
      <c r="N31" s="832"/>
      <c r="O31" s="832"/>
      <c r="P31" s="832"/>
      <c r="Q31" s="832"/>
      <c r="R31" s="832"/>
      <c r="S31" s="832"/>
      <c r="T31" s="832"/>
      <c r="U31" s="833"/>
      <c r="V31" s="833"/>
      <c r="W31" s="832"/>
      <c r="X31" s="832"/>
      <c r="Y31" s="832"/>
      <c r="Z31" s="832"/>
      <c r="AA31" s="832"/>
      <c r="AB31" s="832"/>
      <c r="AC31" s="832"/>
      <c r="AD31" s="832"/>
      <c r="AE31" s="832"/>
      <c r="AF31" s="832"/>
      <c r="AG31" s="832"/>
      <c r="AH31" s="832"/>
      <c r="AI31" s="832"/>
      <c r="AJ31" s="832"/>
      <c r="AK31" s="832"/>
    </row>
    <row r="32" spans="1:37" x14ac:dyDescent="0.2">
      <c r="A32" s="112"/>
      <c r="B32" s="490"/>
      <c r="C32" s="490"/>
      <c r="D32" s="490"/>
      <c r="E32" s="490"/>
      <c r="F32" s="490"/>
      <c r="G32" s="490"/>
      <c r="H32" s="490"/>
      <c r="I32" s="490"/>
      <c r="J32" s="490"/>
      <c r="K32" s="490"/>
      <c r="L32" s="490"/>
      <c r="M32" s="490"/>
      <c r="N32" s="490"/>
      <c r="O32" s="490"/>
      <c r="P32" s="490"/>
      <c r="Q32" s="490"/>
      <c r="R32" s="490"/>
      <c r="S32" s="490"/>
      <c r="T32" s="490"/>
      <c r="U32" s="490"/>
      <c r="V32" s="490"/>
      <c r="W32" s="490"/>
      <c r="X32" s="786"/>
      <c r="Y32" s="490"/>
      <c r="Z32" s="490"/>
      <c r="AA32" s="490"/>
      <c r="AB32" s="490"/>
      <c r="AC32" s="490"/>
      <c r="AD32" s="490"/>
      <c r="AE32" s="490"/>
      <c r="AF32" s="490"/>
      <c r="AG32" s="490"/>
      <c r="AH32" s="490"/>
      <c r="AI32" s="490"/>
      <c r="AJ32" s="490"/>
      <c r="AK32" s="490"/>
    </row>
    <row r="33" spans="1:37" x14ac:dyDescent="0.2">
      <c r="A33" s="112"/>
      <c r="B33" s="490"/>
      <c r="C33" s="490"/>
      <c r="D33" s="490"/>
      <c r="E33" s="490"/>
      <c r="F33" s="490"/>
      <c r="G33" s="490"/>
      <c r="H33" s="490"/>
      <c r="I33" s="490"/>
      <c r="J33" s="490"/>
      <c r="K33" s="490"/>
      <c r="L33" s="490"/>
      <c r="M33" s="490"/>
      <c r="N33" s="490"/>
      <c r="O33" s="490"/>
      <c r="P33" s="490"/>
      <c r="Q33" s="490"/>
      <c r="R33" s="490"/>
      <c r="S33" s="490"/>
      <c r="T33" s="490"/>
      <c r="U33" s="490"/>
      <c r="V33" s="490"/>
      <c r="W33" s="490"/>
      <c r="X33" s="786"/>
      <c r="Y33" s="490"/>
      <c r="Z33" s="490"/>
      <c r="AA33" s="490"/>
      <c r="AB33" s="490"/>
      <c r="AC33" s="490"/>
      <c r="AD33" s="490"/>
      <c r="AE33" s="490"/>
      <c r="AF33" s="490"/>
      <c r="AG33" s="490"/>
      <c r="AH33" s="490"/>
      <c r="AI33" s="490"/>
      <c r="AJ33" s="490"/>
      <c r="AK33" s="490"/>
    </row>
    <row r="34" spans="1:37" x14ac:dyDescent="0.2">
      <c r="A34" s="112"/>
      <c r="B34" s="63"/>
      <c r="C34" s="63"/>
      <c r="D34" s="63"/>
      <c r="E34" s="63"/>
      <c r="F34" s="63"/>
      <c r="G34" s="63"/>
      <c r="H34" s="63"/>
      <c r="I34" s="63"/>
      <c r="J34" s="63"/>
      <c r="K34" s="63"/>
      <c r="L34" s="63"/>
      <c r="M34" s="63"/>
      <c r="N34" s="63"/>
      <c r="O34" s="63"/>
      <c r="P34" s="63"/>
      <c r="Q34" s="63"/>
      <c r="R34" s="63"/>
      <c r="S34" s="63"/>
      <c r="T34" s="63"/>
      <c r="U34" s="63"/>
      <c r="V34" s="63"/>
      <c r="W34" s="63"/>
      <c r="X34" s="785"/>
      <c r="Y34" s="63"/>
      <c r="Z34" s="63"/>
      <c r="AA34" s="63"/>
      <c r="AB34" s="63"/>
      <c r="AC34" s="63"/>
      <c r="AD34" s="63"/>
      <c r="AE34" s="63"/>
      <c r="AF34" s="63"/>
      <c r="AG34" s="63"/>
      <c r="AH34" s="63"/>
      <c r="AI34" s="63"/>
      <c r="AJ34" s="63"/>
      <c r="AK34" s="63"/>
    </row>
    <row r="35" spans="1:37" x14ac:dyDescent="0.2">
      <c r="A35" s="112"/>
      <c r="B35" s="63"/>
      <c r="C35" s="63"/>
      <c r="D35" s="63"/>
      <c r="E35" s="63"/>
      <c r="F35" s="63"/>
      <c r="G35" s="63"/>
      <c r="H35" s="63"/>
      <c r="I35" s="63"/>
      <c r="J35" s="63"/>
      <c r="K35" s="63"/>
      <c r="L35" s="63"/>
      <c r="M35" s="63"/>
      <c r="N35" s="63"/>
      <c r="O35" s="63"/>
      <c r="P35" s="63"/>
      <c r="Q35" s="63"/>
      <c r="R35" s="63"/>
      <c r="S35" s="63"/>
      <c r="T35" s="63"/>
      <c r="U35" s="63"/>
      <c r="V35" s="63"/>
      <c r="W35" s="63"/>
      <c r="X35" s="785"/>
      <c r="Y35" s="63"/>
      <c r="Z35" s="63"/>
      <c r="AA35" s="63"/>
      <c r="AB35" s="63"/>
      <c r="AC35" s="63"/>
      <c r="AD35" s="63"/>
      <c r="AE35" s="63"/>
      <c r="AF35" s="63"/>
      <c r="AG35" s="63"/>
      <c r="AH35" s="63"/>
      <c r="AI35" s="63"/>
      <c r="AJ35" s="63"/>
      <c r="AK35" s="63"/>
    </row>
    <row r="36" spans="1:37" x14ac:dyDescent="0.2">
      <c r="A36" s="112"/>
      <c r="B36" s="63"/>
      <c r="C36" s="63"/>
      <c r="D36" s="63"/>
      <c r="E36" s="63"/>
      <c r="F36" s="63"/>
      <c r="G36" s="63"/>
      <c r="H36" s="63"/>
      <c r="I36" s="63"/>
      <c r="J36" s="63"/>
      <c r="K36" s="63"/>
      <c r="L36" s="63"/>
      <c r="M36" s="63"/>
      <c r="N36" s="63"/>
      <c r="O36" s="63"/>
      <c r="P36" s="63"/>
      <c r="Q36" s="63"/>
      <c r="R36" s="63"/>
      <c r="S36" s="63"/>
      <c r="T36" s="63"/>
      <c r="U36" s="63"/>
      <c r="V36" s="63"/>
      <c r="W36" s="63"/>
      <c r="X36" s="785"/>
      <c r="Y36" s="63"/>
      <c r="Z36" s="63"/>
      <c r="AA36" s="63"/>
      <c r="AB36" s="63"/>
      <c r="AC36" s="63"/>
      <c r="AD36" s="63"/>
      <c r="AE36" s="63"/>
      <c r="AF36" s="63"/>
      <c r="AG36" s="63"/>
      <c r="AH36" s="63"/>
      <c r="AI36" s="63"/>
      <c r="AJ36" s="63"/>
      <c r="AK36" s="63"/>
    </row>
    <row r="37" spans="1:37" x14ac:dyDescent="0.2">
      <c r="A37" s="112"/>
      <c r="B37" s="63"/>
      <c r="C37" s="63"/>
      <c r="D37" s="63"/>
      <c r="E37" s="63"/>
      <c r="F37" s="63"/>
      <c r="G37" s="63"/>
      <c r="H37" s="63"/>
      <c r="I37" s="63"/>
      <c r="J37" s="63"/>
      <c r="K37" s="63"/>
      <c r="L37" s="63"/>
      <c r="M37" s="63"/>
      <c r="N37" s="63"/>
      <c r="O37" s="63"/>
      <c r="P37" s="63"/>
      <c r="Q37" s="63"/>
      <c r="R37" s="63"/>
      <c r="S37" s="63"/>
      <c r="T37" s="63"/>
      <c r="U37" s="63"/>
      <c r="V37" s="63"/>
      <c r="W37" s="63"/>
      <c r="X37" s="785"/>
      <c r="Y37" s="63"/>
      <c r="Z37" s="63"/>
      <c r="AA37" s="63"/>
      <c r="AB37" s="63"/>
      <c r="AC37" s="63"/>
      <c r="AD37" s="63"/>
      <c r="AE37" s="63"/>
      <c r="AF37" s="63"/>
      <c r="AG37" s="63"/>
      <c r="AH37" s="63"/>
      <c r="AI37" s="63"/>
      <c r="AJ37" s="63"/>
      <c r="AK37" s="63"/>
    </row>
    <row r="38" spans="1:37" x14ac:dyDescent="0.2">
      <c r="A38" s="112"/>
      <c r="B38" s="63"/>
      <c r="C38" s="63"/>
      <c r="D38" s="63"/>
      <c r="E38" s="63"/>
      <c r="F38" s="63"/>
      <c r="G38" s="63"/>
      <c r="H38" s="63"/>
      <c r="I38" s="63"/>
      <c r="J38" s="63"/>
      <c r="K38" s="63"/>
      <c r="L38" s="63"/>
      <c r="M38" s="63"/>
      <c r="N38" s="63"/>
      <c r="O38" s="63"/>
      <c r="P38" s="63"/>
      <c r="Q38" s="63"/>
      <c r="R38" s="63"/>
      <c r="S38" s="63"/>
      <c r="T38" s="63"/>
      <c r="U38" s="63"/>
      <c r="V38" s="63"/>
      <c r="W38" s="63"/>
      <c r="X38" s="785"/>
      <c r="Y38" s="63"/>
      <c r="Z38" s="63"/>
      <c r="AA38" s="63"/>
      <c r="AB38" s="63"/>
      <c r="AC38" s="63"/>
      <c r="AD38" s="63"/>
      <c r="AE38" s="63"/>
      <c r="AF38" s="63"/>
      <c r="AG38" s="63"/>
      <c r="AH38" s="63"/>
      <c r="AI38" s="63"/>
      <c r="AJ38" s="63"/>
      <c r="AK38" s="63"/>
    </row>
    <row r="39" spans="1:37" x14ac:dyDescent="0.2">
      <c r="A39" s="112"/>
      <c r="B39" s="63"/>
      <c r="C39" s="63"/>
      <c r="D39" s="63"/>
      <c r="E39" s="63"/>
      <c r="F39" s="63"/>
      <c r="G39" s="63"/>
      <c r="H39" s="63"/>
      <c r="I39" s="63"/>
      <c r="J39" s="63"/>
      <c r="K39" s="63"/>
      <c r="L39" s="63"/>
      <c r="M39" s="63"/>
      <c r="N39" s="63"/>
      <c r="O39" s="63"/>
      <c r="P39" s="63"/>
      <c r="Q39" s="63"/>
      <c r="R39" s="63"/>
      <c r="S39" s="63"/>
      <c r="T39" s="63"/>
      <c r="U39" s="63"/>
      <c r="V39" s="63"/>
      <c r="W39" s="63"/>
      <c r="X39" s="785"/>
      <c r="Y39" s="63"/>
      <c r="Z39" s="63"/>
      <c r="AA39" s="63"/>
      <c r="AB39" s="63"/>
      <c r="AC39" s="63"/>
      <c r="AD39" s="63"/>
      <c r="AE39" s="63"/>
      <c r="AF39" s="63"/>
      <c r="AG39" s="63"/>
      <c r="AH39" s="63"/>
      <c r="AI39" s="63"/>
      <c r="AJ39" s="63"/>
      <c r="AK39" s="63"/>
    </row>
    <row r="40" spans="1:37" x14ac:dyDescent="0.2">
      <c r="A40" s="63"/>
      <c r="B40" s="63"/>
      <c r="C40" s="63"/>
      <c r="D40" s="63"/>
      <c r="E40" s="63"/>
      <c r="F40" s="63"/>
      <c r="G40" s="63"/>
      <c r="H40" s="63"/>
      <c r="I40" s="63"/>
      <c r="J40" s="63"/>
      <c r="K40" s="63"/>
      <c r="L40" s="63"/>
      <c r="M40" s="63"/>
      <c r="N40" s="63"/>
      <c r="O40" s="63"/>
      <c r="P40" s="63"/>
      <c r="Q40" s="63"/>
      <c r="R40" s="63"/>
      <c r="S40" s="63"/>
      <c r="T40" s="63"/>
      <c r="U40" s="63"/>
      <c r="V40" s="63"/>
      <c r="W40" s="63"/>
      <c r="X40" s="785"/>
      <c r="Y40" s="63"/>
      <c r="Z40" s="63"/>
      <c r="AA40" s="63"/>
      <c r="AB40" s="63"/>
      <c r="AC40" s="63"/>
      <c r="AD40" s="63"/>
      <c r="AE40" s="63"/>
      <c r="AF40" s="63"/>
      <c r="AG40" s="63"/>
      <c r="AH40" s="63"/>
      <c r="AI40" s="63"/>
      <c r="AJ40" s="63"/>
      <c r="AK40" s="63"/>
    </row>
    <row r="41" spans="1:37" x14ac:dyDescent="0.2">
      <c r="A41" s="63"/>
      <c r="B41" s="63"/>
      <c r="C41" s="63"/>
      <c r="D41" s="63"/>
      <c r="E41" s="63"/>
      <c r="F41" s="63"/>
      <c r="G41" s="63"/>
      <c r="H41" s="63"/>
      <c r="I41" s="63"/>
      <c r="J41" s="63"/>
      <c r="K41" s="63"/>
      <c r="L41" s="63"/>
      <c r="M41" s="63"/>
      <c r="N41" s="63"/>
      <c r="O41" s="63"/>
      <c r="P41" s="63"/>
      <c r="Q41" s="63"/>
      <c r="R41" s="63"/>
      <c r="S41" s="63"/>
      <c r="T41" s="63"/>
      <c r="U41" s="63"/>
      <c r="V41" s="63"/>
      <c r="W41" s="63"/>
      <c r="X41" s="785"/>
      <c r="Y41" s="63"/>
      <c r="Z41" s="63"/>
      <c r="AA41" s="63"/>
      <c r="AB41" s="63"/>
      <c r="AC41" s="63"/>
      <c r="AD41" s="63"/>
      <c r="AE41" s="63"/>
      <c r="AF41" s="63"/>
      <c r="AG41" s="63"/>
      <c r="AH41" s="63"/>
      <c r="AI41" s="63"/>
      <c r="AJ41" s="63"/>
      <c r="AK41" s="63"/>
    </row>
    <row r="42" spans="1:37" x14ac:dyDescent="0.2">
      <c r="A42" s="63"/>
      <c r="B42" s="63"/>
      <c r="C42" s="63"/>
      <c r="D42" s="63"/>
      <c r="E42" s="63"/>
      <c r="F42" s="63"/>
      <c r="G42" s="63"/>
      <c r="H42" s="63"/>
      <c r="I42" s="63"/>
      <c r="J42" s="63"/>
      <c r="K42" s="63"/>
      <c r="L42" s="63"/>
      <c r="M42" s="63"/>
      <c r="N42" s="63"/>
      <c r="O42" s="63"/>
      <c r="P42" s="63"/>
      <c r="Q42" s="63"/>
      <c r="R42" s="63"/>
      <c r="S42" s="63"/>
      <c r="T42" s="63"/>
      <c r="U42" s="63"/>
      <c r="V42" s="63"/>
      <c r="W42" s="63"/>
      <c r="X42" s="785"/>
      <c r="Y42" s="63"/>
      <c r="Z42" s="63"/>
      <c r="AA42" s="63"/>
      <c r="AB42" s="63"/>
      <c r="AC42" s="63"/>
      <c r="AD42" s="63"/>
      <c r="AE42" s="63"/>
      <c r="AF42" s="63"/>
      <c r="AG42" s="63"/>
      <c r="AH42" s="63"/>
      <c r="AI42" s="63"/>
      <c r="AJ42" s="63"/>
      <c r="AK42" s="63"/>
    </row>
    <row r="43" spans="1:37" x14ac:dyDescent="0.2">
      <c r="A43" s="63"/>
      <c r="B43" s="63"/>
      <c r="C43" s="63"/>
      <c r="D43" s="63"/>
      <c r="E43" s="63"/>
      <c r="F43" s="63"/>
      <c r="G43" s="63"/>
      <c r="H43" s="63"/>
      <c r="I43" s="63"/>
      <c r="J43" s="63"/>
      <c r="K43" s="63"/>
      <c r="L43" s="63"/>
      <c r="M43" s="63"/>
      <c r="N43" s="63"/>
      <c r="O43" s="63"/>
      <c r="P43" s="63"/>
      <c r="Q43" s="63"/>
      <c r="R43" s="63"/>
      <c r="S43" s="63"/>
      <c r="T43" s="63"/>
      <c r="U43" s="63"/>
      <c r="V43" s="63"/>
      <c r="W43" s="63"/>
      <c r="X43" s="785"/>
      <c r="Y43" s="63"/>
      <c r="Z43" s="63"/>
      <c r="AA43" s="63"/>
      <c r="AB43" s="63"/>
      <c r="AC43" s="63"/>
      <c r="AD43" s="63"/>
      <c r="AE43" s="63"/>
      <c r="AF43" s="63"/>
      <c r="AG43" s="63"/>
      <c r="AH43" s="63"/>
      <c r="AI43" s="63"/>
      <c r="AJ43" s="63"/>
      <c r="AK43" s="63"/>
    </row>
    <row r="44" spans="1:37" x14ac:dyDescent="0.2">
      <c r="A44" s="63"/>
      <c r="B44" s="63"/>
      <c r="C44" s="63"/>
      <c r="D44" s="63"/>
      <c r="E44" s="63"/>
      <c r="F44" s="63"/>
      <c r="G44" s="63"/>
      <c r="H44" s="63"/>
      <c r="I44" s="63"/>
      <c r="J44" s="63"/>
      <c r="K44" s="63"/>
      <c r="L44" s="63"/>
      <c r="M44" s="63"/>
      <c r="N44" s="63"/>
      <c r="O44" s="63"/>
      <c r="P44" s="63"/>
      <c r="Q44" s="63"/>
      <c r="R44" s="63"/>
      <c r="S44" s="63"/>
      <c r="T44" s="63"/>
      <c r="U44" s="63"/>
      <c r="V44" s="63"/>
      <c r="W44" s="63"/>
      <c r="X44" s="785"/>
      <c r="Y44" s="63"/>
      <c r="Z44" s="63"/>
      <c r="AA44" s="63"/>
      <c r="AB44" s="63"/>
      <c r="AC44" s="63"/>
      <c r="AD44" s="63"/>
      <c r="AE44" s="63"/>
      <c r="AF44" s="63"/>
      <c r="AG44" s="63"/>
      <c r="AH44" s="63"/>
      <c r="AI44" s="63"/>
      <c r="AJ44" s="63"/>
      <c r="AK44" s="63"/>
    </row>
    <row r="45" spans="1:37" x14ac:dyDescent="0.2">
      <c r="A45" s="63"/>
      <c r="B45" s="63"/>
      <c r="C45" s="63"/>
      <c r="D45" s="63"/>
      <c r="E45" s="63"/>
      <c r="F45" s="63"/>
      <c r="G45" s="63"/>
      <c r="H45" s="63"/>
      <c r="I45" s="63"/>
      <c r="J45" s="63"/>
      <c r="K45" s="63"/>
      <c r="L45" s="63"/>
      <c r="M45" s="63"/>
      <c r="N45" s="63"/>
      <c r="O45" s="63"/>
      <c r="P45" s="63"/>
      <c r="Q45" s="63"/>
      <c r="R45" s="63"/>
      <c r="S45" s="63"/>
      <c r="T45" s="63"/>
      <c r="U45" s="63"/>
      <c r="V45" s="63"/>
      <c r="W45" s="63"/>
      <c r="X45" s="785"/>
      <c r="Y45" s="63"/>
      <c r="Z45" s="63"/>
      <c r="AA45" s="63"/>
      <c r="AB45" s="63"/>
      <c r="AC45" s="63"/>
      <c r="AD45" s="63"/>
      <c r="AE45" s="63"/>
      <c r="AF45" s="63"/>
      <c r="AG45" s="63"/>
      <c r="AH45" s="63"/>
      <c r="AI45" s="63"/>
      <c r="AJ45" s="63"/>
      <c r="AK45" s="63"/>
    </row>
    <row r="46" spans="1:37" x14ac:dyDescent="0.2">
      <c r="A46" s="63"/>
      <c r="B46" s="63"/>
      <c r="C46" s="63"/>
      <c r="D46" s="63"/>
      <c r="E46" s="63"/>
      <c r="F46" s="63"/>
      <c r="G46" s="63"/>
      <c r="H46" s="63"/>
      <c r="I46" s="63"/>
      <c r="J46" s="63"/>
      <c r="K46" s="63"/>
      <c r="L46" s="63"/>
      <c r="M46" s="63"/>
      <c r="N46" s="63"/>
      <c r="O46" s="63"/>
      <c r="P46" s="63"/>
      <c r="Q46" s="63"/>
      <c r="R46" s="63"/>
      <c r="S46" s="63"/>
      <c r="T46" s="63"/>
      <c r="U46" s="63"/>
      <c r="V46" s="63"/>
      <c r="W46" s="63"/>
      <c r="X46" s="785"/>
      <c r="Y46" s="63"/>
      <c r="Z46" s="63"/>
      <c r="AA46" s="63"/>
      <c r="AB46" s="63"/>
      <c r="AC46" s="63"/>
      <c r="AD46" s="63"/>
      <c r="AE46" s="63"/>
      <c r="AF46" s="63"/>
      <c r="AG46" s="63"/>
      <c r="AH46" s="63"/>
      <c r="AI46" s="63"/>
      <c r="AJ46" s="63"/>
      <c r="AK46" s="63"/>
    </row>
    <row r="47" spans="1:37" x14ac:dyDescent="0.2">
      <c r="A47" s="63"/>
      <c r="B47" s="63"/>
      <c r="C47" s="63"/>
      <c r="D47" s="63"/>
      <c r="E47" s="63"/>
      <c r="F47" s="63"/>
      <c r="G47" s="63"/>
      <c r="H47" s="63"/>
      <c r="I47" s="63"/>
      <c r="J47" s="63"/>
      <c r="K47" s="63"/>
      <c r="L47" s="63"/>
      <c r="M47" s="63"/>
      <c r="N47" s="63"/>
      <c r="O47" s="63"/>
      <c r="P47" s="63"/>
      <c r="Q47" s="63"/>
      <c r="R47" s="63"/>
      <c r="S47" s="63"/>
      <c r="T47" s="63"/>
      <c r="U47" s="63"/>
      <c r="V47" s="63"/>
      <c r="W47" s="63"/>
      <c r="X47" s="785"/>
      <c r="Y47" s="63"/>
      <c r="Z47" s="63"/>
      <c r="AA47" s="63"/>
      <c r="AB47" s="63"/>
      <c r="AC47" s="63"/>
      <c r="AD47" s="63"/>
      <c r="AE47" s="63"/>
      <c r="AF47" s="63"/>
      <c r="AG47" s="63"/>
      <c r="AH47" s="63"/>
      <c r="AI47" s="63"/>
      <c r="AJ47" s="63"/>
      <c r="AK47" s="63"/>
    </row>
    <row r="48" spans="1:37" x14ac:dyDescent="0.2">
      <c r="A48" s="63"/>
      <c r="B48" s="63"/>
      <c r="C48" s="63"/>
      <c r="D48" s="63"/>
      <c r="E48" s="63"/>
      <c r="F48" s="63"/>
      <c r="G48" s="63"/>
      <c r="H48" s="63"/>
      <c r="I48" s="63"/>
      <c r="J48" s="63"/>
      <c r="K48" s="63"/>
      <c r="L48" s="63"/>
      <c r="M48" s="63"/>
      <c r="N48" s="63"/>
      <c r="O48" s="63"/>
      <c r="P48" s="63"/>
      <c r="Q48" s="63"/>
      <c r="R48" s="63"/>
      <c r="S48" s="63"/>
      <c r="T48" s="63"/>
      <c r="U48" s="63"/>
      <c r="V48" s="63"/>
      <c r="W48" s="63"/>
      <c r="X48" s="785"/>
      <c r="Y48" s="63"/>
      <c r="Z48" s="63"/>
      <c r="AA48" s="63"/>
      <c r="AB48" s="63"/>
      <c r="AC48" s="63"/>
      <c r="AD48" s="63"/>
      <c r="AE48" s="63"/>
      <c r="AF48" s="63"/>
      <c r="AG48" s="63"/>
      <c r="AH48" s="63"/>
      <c r="AI48" s="63"/>
      <c r="AJ48" s="63"/>
      <c r="AK48" s="63"/>
    </row>
    <row r="49" spans="1:37" x14ac:dyDescent="0.2">
      <c r="A49" s="63"/>
      <c r="B49" s="63"/>
      <c r="C49" s="63"/>
      <c r="D49" s="63"/>
      <c r="E49" s="63"/>
      <c r="F49" s="63"/>
      <c r="G49" s="63"/>
      <c r="H49" s="63"/>
      <c r="I49" s="63"/>
      <c r="J49" s="63"/>
      <c r="K49" s="63"/>
      <c r="L49" s="63"/>
      <c r="M49" s="63"/>
      <c r="N49" s="63"/>
      <c r="O49" s="63"/>
      <c r="P49" s="63"/>
      <c r="Q49" s="63"/>
      <c r="R49" s="63"/>
      <c r="S49" s="63"/>
      <c r="T49" s="63"/>
      <c r="U49" s="63"/>
      <c r="V49" s="63"/>
      <c r="W49" s="63"/>
      <c r="X49" s="785"/>
      <c r="Y49" s="63"/>
      <c r="Z49" s="63"/>
      <c r="AA49" s="63"/>
      <c r="AB49" s="63"/>
      <c r="AC49" s="63"/>
      <c r="AD49" s="63"/>
      <c r="AE49" s="63"/>
      <c r="AF49" s="63"/>
      <c r="AG49" s="63"/>
      <c r="AH49" s="63"/>
      <c r="AI49" s="63"/>
      <c r="AJ49" s="63"/>
      <c r="AK49" s="63"/>
    </row>
    <row r="50" spans="1:37" x14ac:dyDescent="0.2">
      <c r="A50" s="63"/>
      <c r="B50" s="63"/>
      <c r="C50" s="63"/>
      <c r="D50" s="63"/>
      <c r="E50" s="63"/>
      <c r="F50" s="63"/>
      <c r="G50" s="63"/>
      <c r="H50" s="63"/>
      <c r="I50" s="63"/>
      <c r="J50" s="63"/>
      <c r="K50" s="63"/>
      <c r="L50" s="63"/>
      <c r="M50" s="63"/>
      <c r="N50" s="63"/>
      <c r="O50" s="63"/>
      <c r="P50" s="63"/>
      <c r="Q50" s="63"/>
      <c r="R50" s="63"/>
      <c r="S50" s="63"/>
      <c r="T50" s="63"/>
      <c r="U50" s="63"/>
      <c r="V50" s="63"/>
      <c r="W50" s="63"/>
      <c r="X50" s="785"/>
      <c r="Y50" s="63"/>
      <c r="Z50" s="63"/>
      <c r="AA50" s="63"/>
      <c r="AB50" s="63"/>
      <c r="AC50" s="63"/>
      <c r="AD50" s="63"/>
      <c r="AE50" s="63"/>
      <c r="AF50" s="63"/>
      <c r="AG50" s="63"/>
      <c r="AH50" s="63"/>
      <c r="AI50" s="63"/>
      <c r="AJ50" s="63"/>
      <c r="AK50" s="63"/>
    </row>
    <row r="51" spans="1:37" x14ac:dyDescent="0.2">
      <c r="A51" s="63"/>
      <c r="B51" s="63"/>
      <c r="C51" s="63"/>
      <c r="D51" s="63"/>
      <c r="E51" s="63"/>
      <c r="F51" s="63"/>
      <c r="G51" s="63"/>
      <c r="H51" s="63"/>
      <c r="I51" s="63"/>
      <c r="J51" s="63"/>
      <c r="K51" s="63"/>
      <c r="L51" s="63"/>
      <c r="M51" s="63"/>
      <c r="N51" s="63"/>
      <c r="O51" s="63"/>
      <c r="P51" s="63"/>
      <c r="Q51" s="63"/>
      <c r="R51" s="63"/>
      <c r="S51" s="63"/>
      <c r="T51" s="63"/>
      <c r="U51" s="63"/>
      <c r="V51" s="63"/>
      <c r="W51" s="63"/>
      <c r="X51" s="785"/>
      <c r="Y51" s="63"/>
      <c r="Z51" s="63"/>
      <c r="AA51" s="63"/>
      <c r="AB51" s="63"/>
      <c r="AC51" s="63"/>
      <c r="AD51" s="63"/>
      <c r="AE51" s="63"/>
      <c r="AF51" s="63"/>
      <c r="AG51" s="63"/>
      <c r="AH51" s="63"/>
      <c r="AI51" s="63"/>
      <c r="AJ51" s="63"/>
      <c r="AK51" s="63"/>
    </row>
    <row r="52" spans="1:37" x14ac:dyDescent="0.2">
      <c r="A52" s="63"/>
      <c r="B52" s="63"/>
      <c r="C52" s="63"/>
      <c r="D52" s="63"/>
      <c r="E52" s="63"/>
      <c r="F52" s="63"/>
      <c r="G52" s="63"/>
      <c r="H52" s="63"/>
      <c r="I52" s="63"/>
      <c r="J52" s="63"/>
      <c r="K52" s="63"/>
      <c r="L52" s="63"/>
      <c r="M52" s="63"/>
      <c r="N52" s="63"/>
      <c r="O52" s="63"/>
      <c r="P52" s="63"/>
      <c r="Q52" s="63"/>
      <c r="R52" s="63"/>
      <c r="S52" s="63"/>
      <c r="T52" s="63"/>
      <c r="U52" s="63"/>
      <c r="V52" s="63"/>
      <c r="W52" s="63"/>
      <c r="X52" s="785"/>
      <c r="Y52" s="63"/>
      <c r="Z52" s="63"/>
      <c r="AA52" s="63"/>
      <c r="AB52" s="63"/>
      <c r="AC52" s="63"/>
      <c r="AD52" s="63"/>
      <c r="AE52" s="63"/>
      <c r="AF52" s="63"/>
      <c r="AG52" s="63"/>
      <c r="AH52" s="63"/>
      <c r="AI52" s="63"/>
      <c r="AJ52" s="63"/>
      <c r="AK52" s="63"/>
    </row>
    <row r="53" spans="1:37" x14ac:dyDescent="0.2">
      <c r="A53" s="63"/>
      <c r="B53" s="63"/>
      <c r="C53" s="63"/>
      <c r="D53" s="63"/>
      <c r="E53" s="63"/>
      <c r="F53" s="63"/>
      <c r="G53" s="63"/>
      <c r="H53" s="63"/>
      <c r="I53" s="63"/>
      <c r="J53" s="63"/>
      <c r="K53" s="63"/>
      <c r="L53" s="63"/>
      <c r="M53" s="63"/>
      <c r="N53" s="63"/>
      <c r="O53" s="63"/>
      <c r="P53" s="63"/>
      <c r="Q53" s="63"/>
      <c r="R53" s="63"/>
      <c r="S53" s="63"/>
      <c r="T53" s="63"/>
      <c r="U53" s="63"/>
      <c r="V53" s="63"/>
      <c r="W53" s="63"/>
      <c r="X53" s="785"/>
      <c r="Y53" s="63"/>
      <c r="Z53" s="63"/>
      <c r="AA53" s="63"/>
      <c r="AB53" s="63"/>
      <c r="AC53" s="63"/>
      <c r="AD53" s="63"/>
      <c r="AE53" s="63"/>
      <c r="AF53" s="63"/>
      <c r="AG53" s="63"/>
      <c r="AH53" s="63"/>
      <c r="AI53" s="63"/>
      <c r="AJ53" s="63"/>
      <c r="AK53" s="63"/>
    </row>
    <row r="54" spans="1:37" x14ac:dyDescent="0.2">
      <c r="A54" s="63"/>
      <c r="B54" s="63"/>
      <c r="C54" s="63"/>
      <c r="D54" s="63"/>
      <c r="E54" s="63"/>
      <c r="F54" s="63"/>
      <c r="G54" s="63"/>
      <c r="H54" s="63"/>
      <c r="I54" s="63"/>
      <c r="J54" s="63"/>
      <c r="K54" s="63"/>
      <c r="L54" s="63"/>
      <c r="M54" s="63"/>
      <c r="N54" s="63"/>
      <c r="O54" s="63"/>
      <c r="P54" s="63"/>
      <c r="Q54" s="63"/>
      <c r="R54" s="63"/>
      <c r="S54" s="63"/>
      <c r="T54" s="63"/>
      <c r="U54" s="63"/>
      <c r="V54" s="63"/>
      <c r="W54" s="63"/>
      <c r="X54" s="785"/>
      <c r="Y54" s="63"/>
      <c r="Z54" s="63"/>
      <c r="AA54" s="63"/>
      <c r="AB54" s="63"/>
      <c r="AC54" s="63"/>
      <c r="AD54" s="63"/>
      <c r="AE54" s="63"/>
      <c r="AF54" s="63"/>
      <c r="AG54" s="63"/>
      <c r="AH54" s="63"/>
      <c r="AI54" s="63"/>
      <c r="AJ54" s="63"/>
      <c r="AK54" s="63"/>
    </row>
    <row r="55" spans="1:37" x14ac:dyDescent="0.2">
      <c r="A55" s="63"/>
      <c r="B55" s="63"/>
      <c r="C55" s="63"/>
      <c r="D55" s="63"/>
      <c r="E55" s="63"/>
      <c r="F55" s="63"/>
      <c r="G55" s="63"/>
      <c r="H55" s="63"/>
      <c r="I55" s="63"/>
      <c r="J55" s="63"/>
      <c r="K55" s="63"/>
      <c r="L55" s="63"/>
      <c r="M55" s="63"/>
      <c r="N55" s="63"/>
      <c r="O55" s="63"/>
      <c r="P55" s="63"/>
      <c r="Q55" s="63"/>
      <c r="R55" s="63"/>
      <c r="S55" s="63"/>
      <c r="T55" s="63"/>
      <c r="U55" s="63"/>
      <c r="V55" s="63"/>
      <c r="W55" s="63"/>
      <c r="X55" s="785"/>
      <c r="Y55" s="63"/>
      <c r="Z55" s="63"/>
      <c r="AA55" s="63"/>
      <c r="AB55" s="63"/>
      <c r="AC55" s="63"/>
      <c r="AD55" s="63"/>
      <c r="AE55" s="63"/>
      <c r="AF55" s="63"/>
      <c r="AG55" s="63"/>
      <c r="AH55" s="63"/>
      <c r="AI55" s="63"/>
      <c r="AJ55" s="63"/>
      <c r="AK55" s="63"/>
    </row>
    <row r="56" spans="1:37" x14ac:dyDescent="0.2">
      <c r="A56" s="63"/>
      <c r="B56" s="63"/>
      <c r="C56" s="63"/>
      <c r="D56" s="63"/>
      <c r="E56" s="63"/>
      <c r="F56" s="63"/>
      <c r="G56" s="63"/>
      <c r="H56" s="63"/>
      <c r="I56" s="63"/>
      <c r="J56" s="63"/>
      <c r="K56" s="63"/>
      <c r="L56" s="63"/>
      <c r="M56" s="63"/>
      <c r="N56" s="63"/>
      <c r="O56" s="63"/>
      <c r="P56" s="63"/>
      <c r="Q56" s="63"/>
      <c r="R56" s="63"/>
      <c r="S56" s="63"/>
      <c r="T56" s="63"/>
      <c r="U56" s="63"/>
      <c r="V56" s="63"/>
      <c r="W56" s="63"/>
      <c r="X56" s="785"/>
      <c r="Y56" s="63"/>
      <c r="Z56" s="63"/>
      <c r="AA56" s="63"/>
      <c r="AB56" s="63"/>
      <c r="AC56" s="63"/>
      <c r="AD56" s="63"/>
      <c r="AE56" s="63"/>
      <c r="AF56" s="63"/>
      <c r="AG56" s="63"/>
      <c r="AH56" s="63"/>
      <c r="AI56" s="63"/>
      <c r="AJ56" s="63"/>
      <c r="AK56" s="63"/>
    </row>
    <row r="57" spans="1:37" x14ac:dyDescent="0.2">
      <c r="A57" s="63"/>
      <c r="B57" s="63"/>
      <c r="C57" s="63"/>
      <c r="D57" s="63"/>
      <c r="E57" s="63"/>
      <c r="F57" s="63"/>
      <c r="G57" s="63"/>
      <c r="H57" s="63"/>
      <c r="I57" s="63"/>
      <c r="J57" s="63"/>
      <c r="K57" s="63"/>
      <c r="L57" s="63"/>
      <c r="M57" s="63"/>
      <c r="N57" s="63"/>
      <c r="O57" s="63"/>
      <c r="P57" s="63"/>
      <c r="Q57" s="63"/>
      <c r="R57" s="63"/>
      <c r="S57" s="63"/>
      <c r="T57" s="63"/>
      <c r="U57" s="63"/>
      <c r="V57" s="63"/>
      <c r="W57" s="63"/>
      <c r="X57" s="785"/>
      <c r="Y57" s="63"/>
      <c r="Z57" s="63"/>
      <c r="AA57" s="63"/>
      <c r="AB57" s="63"/>
      <c r="AC57" s="63"/>
      <c r="AD57" s="63"/>
      <c r="AE57" s="63"/>
      <c r="AF57" s="63"/>
      <c r="AG57" s="63"/>
      <c r="AH57" s="63"/>
      <c r="AI57" s="63"/>
      <c r="AJ57" s="63"/>
      <c r="AK57" s="63"/>
    </row>
    <row r="58" spans="1:37" x14ac:dyDescent="0.2">
      <c r="A58" s="63"/>
      <c r="B58" s="63"/>
      <c r="C58" s="63"/>
      <c r="D58" s="63"/>
      <c r="E58" s="63"/>
      <c r="F58" s="63"/>
      <c r="G58" s="63"/>
      <c r="H58" s="63"/>
      <c r="I58" s="63"/>
      <c r="J58" s="63"/>
      <c r="K58" s="63"/>
      <c r="L58" s="63"/>
      <c r="M58" s="63"/>
      <c r="N58" s="63"/>
      <c r="O58" s="63"/>
      <c r="P58" s="63"/>
      <c r="Q58" s="63"/>
      <c r="R58" s="63"/>
      <c r="S58" s="63"/>
      <c r="T58" s="63"/>
      <c r="U58" s="63"/>
      <c r="V58" s="63"/>
      <c r="W58" s="63"/>
      <c r="X58" s="785"/>
      <c r="Y58" s="63"/>
      <c r="Z58" s="63"/>
      <c r="AA58" s="63"/>
      <c r="AB58" s="63"/>
      <c r="AC58" s="63"/>
      <c r="AD58" s="63"/>
      <c r="AE58" s="63"/>
      <c r="AF58" s="63"/>
      <c r="AG58" s="63"/>
      <c r="AH58" s="63"/>
      <c r="AI58" s="63"/>
      <c r="AJ58" s="63"/>
      <c r="AK58" s="63"/>
    </row>
    <row r="59" spans="1:37" x14ac:dyDescent="0.2">
      <c r="A59" s="63"/>
      <c r="B59" s="63"/>
      <c r="C59" s="63"/>
      <c r="D59" s="63"/>
      <c r="E59" s="63"/>
      <c r="F59" s="63"/>
      <c r="G59" s="63"/>
      <c r="H59" s="63"/>
      <c r="I59" s="63"/>
      <c r="J59" s="63"/>
      <c r="K59" s="63"/>
      <c r="L59" s="63"/>
      <c r="M59" s="63"/>
      <c r="N59" s="63"/>
      <c r="O59" s="63"/>
      <c r="P59" s="63"/>
      <c r="Q59" s="63"/>
      <c r="R59" s="63"/>
      <c r="S59" s="63"/>
      <c r="T59" s="63"/>
      <c r="U59" s="63"/>
      <c r="V59" s="63"/>
      <c r="W59" s="63"/>
      <c r="X59" s="785"/>
      <c r="Y59" s="63"/>
      <c r="Z59" s="63"/>
      <c r="AA59" s="63"/>
      <c r="AB59" s="63"/>
      <c r="AC59" s="63"/>
      <c r="AD59" s="63"/>
      <c r="AE59" s="63"/>
      <c r="AF59" s="63"/>
      <c r="AG59" s="63"/>
      <c r="AH59" s="63"/>
      <c r="AI59" s="63"/>
      <c r="AJ59" s="63"/>
      <c r="AK59" s="63"/>
    </row>
    <row r="60" spans="1:37" x14ac:dyDescent="0.2">
      <c r="A60" s="63"/>
      <c r="B60" s="63"/>
      <c r="C60" s="63"/>
      <c r="D60" s="63"/>
      <c r="E60" s="63"/>
      <c r="F60" s="63"/>
      <c r="G60" s="63"/>
      <c r="H60" s="63"/>
      <c r="I60" s="63"/>
      <c r="J60" s="63"/>
      <c r="K60" s="63"/>
      <c r="L60" s="63"/>
      <c r="M60" s="63"/>
      <c r="N60" s="63"/>
      <c r="O60" s="63"/>
      <c r="P60" s="63"/>
      <c r="Q60" s="63"/>
      <c r="R60" s="63"/>
      <c r="S60" s="63"/>
      <c r="T60" s="63"/>
      <c r="U60" s="63"/>
      <c r="V60" s="63"/>
      <c r="W60" s="63"/>
      <c r="X60" s="785"/>
      <c r="Y60" s="63"/>
      <c r="Z60" s="63"/>
      <c r="AA60" s="63"/>
      <c r="AB60" s="63"/>
      <c r="AC60" s="63"/>
      <c r="AD60" s="63"/>
      <c r="AE60" s="63"/>
      <c r="AF60" s="63"/>
      <c r="AG60" s="63"/>
      <c r="AH60" s="63"/>
      <c r="AI60" s="63"/>
      <c r="AJ60" s="63"/>
      <c r="AK60" s="63"/>
    </row>
    <row r="61" spans="1:37" x14ac:dyDescent="0.2">
      <c r="A61" s="63"/>
      <c r="B61" s="63"/>
      <c r="C61" s="63"/>
      <c r="D61" s="63"/>
      <c r="E61" s="63"/>
      <c r="F61" s="63"/>
      <c r="G61" s="63"/>
      <c r="H61" s="63"/>
      <c r="I61" s="63"/>
      <c r="J61" s="63"/>
      <c r="K61" s="63"/>
      <c r="L61" s="63"/>
      <c r="M61" s="63"/>
      <c r="N61" s="63"/>
      <c r="O61" s="63"/>
      <c r="P61" s="63"/>
      <c r="Q61" s="63"/>
      <c r="R61" s="63"/>
      <c r="S61" s="63"/>
      <c r="T61" s="63"/>
      <c r="U61" s="63"/>
      <c r="V61" s="63"/>
      <c r="W61" s="63"/>
      <c r="X61" s="785"/>
      <c r="Y61" s="63"/>
      <c r="Z61" s="63"/>
      <c r="AA61" s="63"/>
      <c r="AB61" s="63"/>
      <c r="AC61" s="63"/>
      <c r="AD61" s="63"/>
      <c r="AE61" s="63"/>
      <c r="AF61" s="63"/>
      <c r="AG61" s="63"/>
      <c r="AH61" s="63"/>
      <c r="AI61" s="63"/>
      <c r="AJ61" s="63"/>
      <c r="AK61" s="63"/>
    </row>
    <row r="62" spans="1:37" x14ac:dyDescent="0.2">
      <c r="A62" s="63"/>
      <c r="B62" s="63"/>
      <c r="C62" s="63"/>
      <c r="D62" s="63"/>
      <c r="E62" s="63"/>
      <c r="F62" s="63"/>
      <c r="G62" s="63"/>
      <c r="H62" s="63"/>
      <c r="I62" s="63"/>
      <c r="J62" s="63"/>
      <c r="K62" s="63"/>
      <c r="L62" s="63"/>
      <c r="M62" s="63"/>
      <c r="N62" s="63"/>
      <c r="O62" s="63"/>
      <c r="P62" s="63"/>
      <c r="Q62" s="63"/>
      <c r="R62" s="63"/>
      <c r="S62" s="63"/>
      <c r="T62" s="63"/>
      <c r="U62" s="63"/>
      <c r="V62" s="63"/>
      <c r="W62" s="63"/>
      <c r="X62" s="785"/>
      <c r="Y62" s="63"/>
      <c r="Z62" s="63"/>
      <c r="AA62" s="63"/>
      <c r="AB62" s="63"/>
      <c r="AC62" s="63"/>
      <c r="AD62" s="63"/>
      <c r="AE62" s="63"/>
      <c r="AF62" s="63"/>
      <c r="AG62" s="63"/>
      <c r="AH62" s="63"/>
      <c r="AI62" s="63"/>
      <c r="AJ62" s="63"/>
      <c r="AK62" s="63"/>
    </row>
  </sheetData>
  <sheetProtection password="CC75" sheet="1" objects="1" scenarios="1"/>
  <mergeCells count="16">
    <mergeCell ref="B30:F30"/>
    <mergeCell ref="B31:F31"/>
    <mergeCell ref="B27:H27"/>
    <mergeCell ref="B28:H28"/>
    <mergeCell ref="B25:C25"/>
    <mergeCell ref="D25:H25"/>
    <mergeCell ref="B26:C26"/>
    <mergeCell ref="D26:H26"/>
    <mergeCell ref="T3:AK4"/>
    <mergeCell ref="B24:C24"/>
    <mergeCell ref="D24:H24"/>
    <mergeCell ref="B5:G5"/>
    <mergeCell ref="I5:R5"/>
    <mergeCell ref="T5:AK5"/>
    <mergeCell ref="AB7:AE7"/>
    <mergeCell ref="B23:L23"/>
  </mergeCells>
  <conditionalFormatting sqref="T3">
    <cfRule type="notContainsBlanks" dxfId="23" priority="1">
      <formula>LEN(TRIM(T3))&gt;0</formula>
    </cfRule>
  </conditionalFormatting>
  <dataValidations count="30">
    <dataValidation allowBlank="1" showInputMessage="1" showErrorMessage="1" promptTitle="Merit/Step Increase Date" prompt="This field must be completed._x000a__x000a_Enter the employee's merit date for FY19 in the range 07/01/18 through 06/30/19._x000a__x000a_Enter 07/01/19 if no merit is due next fiscal year." sqref="AB9"/>
    <dataValidation type="date" showInputMessage="1" showErrorMessage="1" errorTitle="Date Outside FY" error="Date entered does not fall within the fiscal year. Please correct and enter valid date of record for employee." sqref="AB10:AB19">
      <formula1>43647</formula1>
      <formula2>44013</formula2>
    </dataValidation>
    <dataValidation type="list" allowBlank="1" showInputMessage="1" showErrorMessage="1" sqref="G10:G19">
      <formula1>$AV$2:$AV$5</formula1>
    </dataValidation>
    <dataValidation type="list" allowBlank="1" showInputMessage="1" showErrorMessage="1" sqref="F10:F19 T10:T19">
      <formula1>$AU$2:$AU$3</formula1>
    </dataValidation>
    <dataValidation allowBlank="1" showInputMessage="1" showErrorMessage="1" promptTitle="Total Fringe" prompt="On Adjusted Salary amounts." sqref="AK9"/>
    <dataValidation allowBlank="1" showInputMessage="1" showErrorMessage="1" promptTitle="Total Salary Budget" prompt="Total Salary including Merit, plus Special Pay prorated for FTE and Pay Periods on this account_x000a__x000a_The Furlough deduction is not budgeted as it is deducted each pay period through payroll_x000a__x000a_" sqref="AI9"/>
    <dataValidation allowBlank="1" showInputMessage="1" showErrorMessage="1" promptTitle="Longevity" prompt="Enter Longevity amount expected to be paid in FY10. _x000a__x000a_Check the Employee Data file distributed to the Division or contact Rose Dawes in HR to verity the longevity amount." sqref="AH9"/>
    <dataValidation allowBlank="1" showInputMessage="1" showErrorMessage="1" promptTitle="Calc Sal" prompt="Annual salary (before EPC adjustment) plus merit plus COLA" sqref="AF9:AG9"/>
    <dataValidation allowBlank="1" showInputMessage="1" showErrorMessage="1" promptTitle="Merit Amount" prompt="Annual Merit at 1.0 FTE calculated based on merit date entered_x000a__x000a_Total Salary includs merit prorated for FTE and Pay Periods" sqref="AC9:AE9"/>
    <dataValidation allowBlank="1" showInputMessage="1" showErrorMessage="1" promptTitle="Total Annual Salary" prompt="Adds annualized base salary + annualized 5% special pay " sqref="AA9"/>
    <dataValidation allowBlank="1" showInputMessage="1" showErrorMessage="1" promptTitle="Special Pay" prompt="If employee receives Special Pay, enter 'I' or 'II' in column G:_x000a_Bilingual Skills_x000a_Shift Differential" sqref="Z9"/>
    <dataValidation allowBlank="1" showInputMessage="1" showErrorMessage="1" prompt="Enter grade and step using four digits separated by a dash (e.g., 23-01, 21-08)." sqref="E10:E19 X10:X19"/>
    <dataValidation allowBlank="1" showInputMessage="1" showErrorMessage="1" promptTitle="Base Salary" prompt="Current Year Annual salary per contract, plus any Special Pay.  Adjusted for employees on Employer Paid Retirement plan." sqref="N9"/>
    <dataValidation allowBlank="1" showInputMessage="1" showErrorMessage="1" promptTitle="Pay Per" prompt="Number of bi-monthly Pay periods that the position is projected to be filled next fiscal year." sqref="W9"/>
    <dataValidation allowBlank="1" showInputMessage="1" showErrorMessage="1" promptTitle="Annual Salary" prompt="Looks up annual salary on 'Compsch' sheet for Grade-Step entered" sqref="Y9"/>
    <dataValidation allowBlank="1" showInputMessage="1" showErrorMessage="1" promptTitle="Total Salary" prompt="Bi-weekly Base Salary plus Special Pay,_x000a_X number of Pay Periods,_x000a_X FTE,_x000a_=Total Salary_x000a__x000a_Verify to Employee Payroll Report" sqref="O9"/>
    <dataValidation allowBlank="1" showInputMessage="1" showErrorMessage="1" promptTitle="Grade Step" prompt="Enter the grade step that the employee will be at on 7/1_x000a_XX-XX format." sqref="X9"/>
    <dataValidation allowBlank="1" showInputMessage="1" showErrorMessage="1" promptTitle="Pay Periods" prompt="Number of bi-monthly Pay periods that position is projected to be filled during the current fiscal year." sqref="K9"/>
    <dataValidation allowBlank="1" showInputMessage="1" showErrorMessage="1" promptTitle="Base Salary" prompt="Annual Contract Amount per Employment Document:_x000a_For part-time positions, adjust the salary to it's full time equivalent amount." sqref="L9"/>
    <dataValidation allowBlank="1" showInputMessage="1" showErrorMessage="1" promptTitle="Special Pay" prompt="If employee receives 5% special pay, enter 'Y' in column G:_x000a_Bilingual Skills_x000a_Supervisory Duties_x000a_Shift Differential" sqref="M9"/>
    <dataValidation allowBlank="1" showInputMessage="1" showErrorMessage="1" promptTitle="EPC" prompt="If employee is on the Employer-Paid Retirement Contribution (EPC) option, enter &quot;Y&quot; in this cell. Salary will be reduced by the EPC factor and Retirement benefits will be calculated at the higher EPC rate.  _x000a__x000a_For non-EPC employees, leave this cell blank." sqref="F9"/>
    <dataValidation allowBlank="1" showInputMessage="1" showErrorMessage="1" promptTitle="Special Pay" prompt="If employee receives 5% Special Pay(s), select &quot;I&quot; or &quot;II&quot; based on Special Pay received in this cell. 5% of Base Salary for each Special Pay will be calculated in column L for current FY and column AA for next FY._x000a__x000a_Otherwise, leave blank." sqref="G9"/>
    <dataValidation allowBlank="1" showInputMessage="1" showErrorMessage="1" promptTitle="New Hire:" prompt="If this will be a new hire in the next fiscal year enter 'Y' in this field.  For existing employees, including employees transferring from other accounts, leave blank." sqref="T9"/>
    <dataValidation allowBlank="1" showInputMessage="1" showErrorMessage="1" promptTitle="FTE" prompt="Enter portion of 1.0 Full Time Equivalent that employee will be paid from this account.  _x000a__x000a_For less than 1.0 FTE, note if the position is part time or enter the account number(s) where the remaining FTE will be paid from in the Personnel Tracking column." sqref="U9:V9 I9"/>
    <dataValidation allowBlank="1" showInputMessage="1" showErrorMessage="1" promptTitle="Adjusted Salary" prompt="Bi-weekly Base Salary plus Special Pay,_x000a_X number of Pay Periods,_x000a_X FTE,_x000a_Less Furlough deduction_x000a_= Adjusted Salary_x000a__x000a_Verify to Employee Payroll Report" sqref="P9"/>
    <dataValidation allowBlank="1" showInputMessage="1" showErrorMessage="1" promptTitle="Position Number" prompt="List only New positions." sqref="B9"/>
    <dataValidation allowBlank="1" showInputMessage="1" showErrorMessage="1" promptTitle="Position Title" prompt="List OFFICIAL POSITION TITLE per PDQ/Data Warehouse." sqref="C9"/>
    <dataValidation allowBlank="1" showInputMessage="1" showErrorMessage="1" promptTitle="Merit/Step Increase Date" prompt="This field must be completed._x000a__x000a_Enter the employee's merit date for FY18 in the range 07/01/17 through 06/30/18._x000a__x000a_Enter 07/01/18 if no merit is due next fiscal year." sqref="AB8"/>
    <dataValidation allowBlank="1" showInputMessage="1" showErrorMessage="1" promptTitle="Employee Names" prompt="One line per Position Number.  List ALL EMPLOYEES in the position this FY and enter the total combined Pay Periods to calculate the Projected Actual total position expense for this FY._x000a__x000a_Use the highest Base Salary and prorate the pay periods if necessary" sqref="D9"/>
    <dataValidation allowBlank="1" showInputMessage="1" showErrorMessage="1" promptTitle="FTE" prompt="Enter portion of 1.0 Full Time Equivalent that employee is paid from this account.  " sqref="J9"/>
  </dataValidations>
  <printOptions horizontalCentered="1"/>
  <pageMargins left="0" right="0" top="0.5" bottom="0.5" header="0.5" footer="0.5"/>
  <pageSetup scale="50" fitToHeight="100"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3" tint="0.39997558519241921"/>
    <pageSetUpPr fitToPage="1"/>
  </sheetPr>
  <dimension ref="A1:R42"/>
  <sheetViews>
    <sheetView zoomScaleNormal="100" workbookViewId="0">
      <pane ySplit="9" topLeftCell="A10" activePane="bottomLeft" state="frozen"/>
      <selection activeCell="N6" sqref="N6"/>
      <selection pane="bottomLeft"/>
    </sheetView>
  </sheetViews>
  <sheetFormatPr defaultColWidth="9.140625" defaultRowHeight="12" x14ac:dyDescent="0.2"/>
  <cols>
    <col min="1" max="1" width="1.5703125" style="1" customWidth="1"/>
    <col min="2" max="2" width="15.5703125" style="81" customWidth="1"/>
    <col min="3" max="3" width="1.5703125" style="81" customWidth="1"/>
    <col min="4" max="4" width="40.42578125" style="1" customWidth="1"/>
    <col min="5" max="5" width="1.5703125" style="1" customWidth="1"/>
    <col min="6" max="8" width="15.42578125" style="1" customWidth="1"/>
    <col min="9" max="9" width="1.85546875" style="1" customWidth="1"/>
    <col min="10" max="10" width="15.42578125" style="1" customWidth="1"/>
    <col min="11" max="12" width="7.5703125" style="1" customWidth="1"/>
    <col min="13" max="16384" width="9.140625" style="1"/>
  </cols>
  <sheetData>
    <row r="1" spans="1:18" s="2" customFormat="1" ht="13.5" thickBot="1" x14ac:dyDescent="0.25">
      <c r="A1" s="191" t="str">
        <f>'SUMMARY FORM'!A2</f>
        <v>FY21 SELF-SUPPORTING BUDGET REQUEST</v>
      </c>
      <c r="B1" s="273"/>
      <c r="C1" s="191"/>
      <c r="D1" s="191"/>
      <c r="E1" s="192"/>
      <c r="F1" s="192"/>
      <c r="G1" s="192"/>
      <c r="H1" s="192"/>
      <c r="I1" s="192"/>
      <c r="J1" s="423" t="s">
        <v>680</v>
      </c>
      <c r="K1" s="425"/>
      <c r="L1" s="425"/>
      <c r="M1" s="95"/>
      <c r="N1" s="95"/>
      <c r="O1" s="95"/>
      <c r="P1" s="95"/>
      <c r="Q1" s="95"/>
      <c r="R1" s="95"/>
    </row>
    <row r="2" spans="1:18" x14ac:dyDescent="0.2">
      <c r="A2" s="172"/>
      <c r="B2" s="184"/>
      <c r="C2" s="184"/>
      <c r="D2" s="173"/>
      <c r="E2" s="173"/>
      <c r="F2" s="173"/>
      <c r="G2" s="173"/>
      <c r="H2" s="173"/>
      <c r="I2" s="173"/>
      <c r="J2" s="322" t="s">
        <v>611</v>
      </c>
      <c r="K2" s="3"/>
      <c r="L2" s="3"/>
      <c r="M2" s="3"/>
      <c r="N2" s="3"/>
      <c r="O2" s="3"/>
      <c r="P2" s="3"/>
      <c r="Q2" s="3"/>
      <c r="R2" s="3"/>
    </row>
    <row r="3" spans="1:18" ht="12.75" customHeight="1" x14ac:dyDescent="0.2">
      <c r="A3" s="172"/>
      <c r="B3" s="184"/>
      <c r="C3" s="184"/>
      <c r="D3" s="184"/>
      <c r="E3" s="184"/>
      <c r="F3" s="184"/>
      <c r="G3" s="184"/>
      <c r="H3" s="1444" t="str">
        <f>'SUMMARY FORM'!AF2</f>
        <v>0  0  0  NEW</v>
      </c>
      <c r="I3" s="1445"/>
      <c r="J3" s="1446"/>
      <c r="K3" s="3"/>
      <c r="L3" s="3"/>
      <c r="M3" s="3"/>
      <c r="N3" s="3"/>
      <c r="O3" s="3"/>
      <c r="P3" s="3"/>
      <c r="Q3" s="3"/>
      <c r="R3" s="3"/>
    </row>
    <row r="4" spans="1:18" ht="12.75" customHeight="1" x14ac:dyDescent="0.2">
      <c r="A4" s="172"/>
      <c r="B4" s="173"/>
      <c r="C4" s="184"/>
      <c r="D4" s="172"/>
      <c r="E4" s="172"/>
      <c r="F4" s="172"/>
      <c r="G4" s="174"/>
      <c r="H4" s="174"/>
      <c r="I4" s="174"/>
      <c r="J4" s="173"/>
      <c r="K4" s="3"/>
      <c r="L4" s="3"/>
      <c r="M4" s="3"/>
      <c r="N4" s="3"/>
      <c r="O4" s="3"/>
      <c r="P4" s="3"/>
      <c r="Q4" s="3"/>
      <c r="R4" s="3"/>
    </row>
    <row r="5" spans="1:18" x14ac:dyDescent="0.2">
      <c r="A5" s="172"/>
      <c r="B5" s="226" t="s">
        <v>1017</v>
      </c>
      <c r="C5" s="184"/>
      <c r="D5" s="177"/>
      <c r="E5" s="173"/>
      <c r="F5" s="169" t="str">
        <f>'SUMMARY FORM'!J15</f>
        <v>FY20</v>
      </c>
      <c r="G5" s="169" t="str">
        <f>'SUMMARY FORM'!J15</f>
        <v>FY20</v>
      </c>
      <c r="H5" s="169" t="str">
        <f>'SUMMARY FORM'!J15</f>
        <v>FY20</v>
      </c>
      <c r="I5" s="174"/>
      <c r="J5" s="169" t="str">
        <f>'SUMMARY FORM'!N15</f>
        <v>FY21</v>
      </c>
      <c r="K5" s="3"/>
      <c r="L5" s="3"/>
      <c r="M5" s="3"/>
      <c r="N5" s="3"/>
      <c r="O5" s="3"/>
      <c r="P5" s="3"/>
      <c r="Q5" s="3"/>
      <c r="R5" s="3"/>
    </row>
    <row r="6" spans="1:18" x14ac:dyDescent="0.2">
      <c r="A6" s="172"/>
      <c r="B6" s="227" t="s">
        <v>1086</v>
      </c>
      <c r="C6" s="184"/>
      <c r="D6" s="179" t="s">
        <v>555</v>
      </c>
      <c r="E6" s="173"/>
      <c r="F6" s="170" t="s">
        <v>540</v>
      </c>
      <c r="G6" s="178" t="s">
        <v>552</v>
      </c>
      <c r="H6" s="178" t="s">
        <v>541</v>
      </c>
      <c r="I6" s="174"/>
      <c r="J6" s="170" t="s">
        <v>355</v>
      </c>
      <c r="K6" s="3"/>
      <c r="L6" s="3"/>
      <c r="M6" s="3"/>
      <c r="N6" s="3"/>
      <c r="O6" s="3"/>
      <c r="P6" s="3"/>
      <c r="Q6" s="3"/>
      <c r="R6" s="3"/>
    </row>
    <row r="7" spans="1:18" x14ac:dyDescent="0.2">
      <c r="A7" s="172"/>
      <c r="B7" s="228"/>
      <c r="C7" s="184"/>
      <c r="D7" s="180"/>
      <c r="E7" s="173"/>
      <c r="F7" s="171" t="s">
        <v>242</v>
      </c>
      <c r="G7" s="171" t="s">
        <v>242</v>
      </c>
      <c r="H7" s="171" t="s">
        <v>242</v>
      </c>
      <c r="I7" s="174"/>
      <c r="J7" s="171" t="s">
        <v>242</v>
      </c>
      <c r="K7" s="3"/>
      <c r="L7" s="3"/>
      <c r="M7" s="3"/>
      <c r="N7" s="3"/>
      <c r="O7" s="3"/>
      <c r="P7" s="3"/>
      <c r="Q7" s="3"/>
      <c r="R7" s="3"/>
    </row>
    <row r="8" spans="1:18" ht="15" customHeight="1" x14ac:dyDescent="0.2">
      <c r="A8" s="172"/>
      <c r="B8" s="184"/>
      <c r="C8" s="184"/>
      <c r="D8" s="323" t="s">
        <v>624</v>
      </c>
      <c r="E8" s="181"/>
      <c r="F8" s="402"/>
      <c r="G8" s="185"/>
      <c r="H8" s="173"/>
      <c r="I8" s="174"/>
      <c r="J8" s="173"/>
      <c r="K8" s="3"/>
      <c r="L8" s="3"/>
      <c r="M8" s="3"/>
      <c r="N8" s="3"/>
      <c r="O8" s="3"/>
      <c r="P8" s="3"/>
      <c r="Q8" s="3"/>
      <c r="R8" s="3"/>
    </row>
    <row r="9" spans="1:18" ht="10.5" customHeight="1" x14ac:dyDescent="0.2">
      <c r="A9" s="172"/>
      <c r="B9" s="187" t="s">
        <v>930</v>
      </c>
      <c r="C9" s="184"/>
      <c r="D9" s="188"/>
      <c r="E9" s="173"/>
      <c r="F9" s="183"/>
      <c r="G9" s="183"/>
      <c r="H9" s="173"/>
      <c r="I9" s="189"/>
      <c r="J9" s="190"/>
      <c r="K9" s="3"/>
      <c r="L9" s="3"/>
      <c r="M9" s="3"/>
      <c r="N9" s="3"/>
      <c r="O9" s="3"/>
      <c r="P9" s="3"/>
      <c r="Q9" s="3"/>
      <c r="R9" s="3"/>
    </row>
    <row r="10" spans="1:18" ht="16.5" customHeight="1" x14ac:dyDescent="0.2">
      <c r="A10" s="727"/>
      <c r="B10" s="724">
        <v>6004</v>
      </c>
      <c r="C10" s="184"/>
      <c r="D10" s="403" t="s">
        <v>931</v>
      </c>
      <c r="E10" s="182"/>
      <c r="F10" s="404"/>
      <c r="G10" s="404"/>
      <c r="H10" s="62">
        <f t="shared" ref="H10:H38" si="0">SUM(F10:G10)</f>
        <v>0</v>
      </c>
      <c r="I10" s="161"/>
      <c r="J10" s="404"/>
      <c r="K10" s="3"/>
      <c r="L10" s="3"/>
      <c r="M10" s="3"/>
      <c r="N10" s="3"/>
      <c r="O10" s="725"/>
      <c r="P10" s="3"/>
      <c r="Q10" s="3"/>
      <c r="R10" s="3"/>
    </row>
    <row r="11" spans="1:18" ht="16.5" customHeight="1" x14ac:dyDescent="0.2">
      <c r="A11" s="727"/>
      <c r="B11" s="724">
        <v>6008</v>
      </c>
      <c r="C11" s="184"/>
      <c r="D11" s="403" t="s">
        <v>932</v>
      </c>
      <c r="E11" s="182"/>
      <c r="F11" s="404"/>
      <c r="G11" s="404"/>
      <c r="H11" s="62">
        <f t="shared" si="0"/>
        <v>0</v>
      </c>
      <c r="I11" s="161"/>
      <c r="J11" s="404"/>
      <c r="K11" s="3"/>
      <c r="L11" s="3"/>
      <c r="M11" s="3"/>
      <c r="N11" s="3"/>
      <c r="O11" s="725"/>
      <c r="P11" s="3"/>
      <c r="Q11" s="3"/>
      <c r="R11" s="3"/>
    </row>
    <row r="12" spans="1:18" ht="16.5" customHeight="1" x14ac:dyDescent="0.2">
      <c r="A12" s="727"/>
      <c r="B12" s="724">
        <v>6016</v>
      </c>
      <c r="C12" s="184"/>
      <c r="D12" s="403" t="s">
        <v>933</v>
      </c>
      <c r="E12" s="174"/>
      <c r="F12" s="404"/>
      <c r="G12" s="404"/>
      <c r="H12" s="62">
        <f t="shared" si="0"/>
        <v>0</v>
      </c>
      <c r="I12" s="161"/>
      <c r="J12" s="404"/>
      <c r="K12" s="3"/>
      <c r="L12" s="3"/>
      <c r="M12" s="3"/>
      <c r="N12" s="3"/>
      <c r="O12" s="725"/>
      <c r="P12" s="3"/>
      <c r="Q12" s="3"/>
      <c r="R12" s="3"/>
    </row>
    <row r="13" spans="1:18" ht="16.5" customHeight="1" x14ac:dyDescent="0.2">
      <c r="A13" s="727"/>
      <c r="B13" s="724">
        <v>6020</v>
      </c>
      <c r="C13" s="184"/>
      <c r="D13" s="403" t="s">
        <v>934</v>
      </c>
      <c r="E13" s="173"/>
      <c r="F13" s="404"/>
      <c r="G13" s="404"/>
      <c r="H13" s="62">
        <f t="shared" si="0"/>
        <v>0</v>
      </c>
      <c r="I13" s="161"/>
      <c r="J13" s="404"/>
      <c r="K13" s="3"/>
      <c r="L13" s="3"/>
      <c r="M13" s="3"/>
      <c r="N13" s="3"/>
      <c r="O13" s="726"/>
      <c r="P13" s="3"/>
      <c r="Q13" s="3"/>
      <c r="R13" s="3"/>
    </row>
    <row r="14" spans="1:18" ht="16.5" customHeight="1" x14ac:dyDescent="0.2">
      <c r="A14" s="727"/>
      <c r="B14" s="724">
        <v>6022</v>
      </c>
      <c r="C14" s="184"/>
      <c r="D14" s="403" t="s">
        <v>935</v>
      </c>
      <c r="E14" s="173"/>
      <c r="F14" s="404"/>
      <c r="G14" s="404"/>
      <c r="H14" s="62">
        <f t="shared" si="0"/>
        <v>0</v>
      </c>
      <c r="I14" s="161"/>
      <c r="J14" s="404"/>
      <c r="K14" s="3"/>
      <c r="L14" s="3"/>
      <c r="M14" s="3"/>
      <c r="N14" s="3"/>
      <c r="O14" s="726"/>
      <c r="P14" s="3"/>
      <c r="Q14" s="3"/>
      <c r="R14" s="3"/>
    </row>
    <row r="15" spans="1:18" ht="16.5" customHeight="1" x14ac:dyDescent="0.2">
      <c r="A15" s="727"/>
      <c r="B15" s="724">
        <v>6024</v>
      </c>
      <c r="C15" s="184"/>
      <c r="D15" s="403" t="s">
        <v>936</v>
      </c>
      <c r="E15" s="173"/>
      <c r="F15" s="404"/>
      <c r="G15" s="404"/>
      <c r="H15" s="62">
        <f t="shared" si="0"/>
        <v>0</v>
      </c>
      <c r="I15" s="161"/>
      <c r="J15" s="404"/>
      <c r="K15" s="3"/>
      <c r="L15" s="3"/>
      <c r="M15" s="3"/>
      <c r="N15" s="3"/>
      <c r="O15" s="726"/>
      <c r="P15" s="3"/>
      <c r="Q15" s="3"/>
      <c r="R15" s="3"/>
    </row>
    <row r="16" spans="1:18" ht="16.5" customHeight="1" x14ac:dyDescent="0.2">
      <c r="A16" s="727"/>
      <c r="B16" s="724">
        <v>6026</v>
      </c>
      <c r="C16" s="184"/>
      <c r="D16" s="403" t="s">
        <v>937</v>
      </c>
      <c r="E16" s="173"/>
      <c r="F16" s="404"/>
      <c r="G16" s="404"/>
      <c r="H16" s="62">
        <f t="shared" si="0"/>
        <v>0</v>
      </c>
      <c r="I16" s="161"/>
      <c r="J16" s="404"/>
      <c r="K16" s="3"/>
      <c r="L16" s="3"/>
      <c r="M16" s="3"/>
      <c r="N16" s="3"/>
      <c r="O16" s="726"/>
      <c r="P16" s="3"/>
      <c r="Q16" s="3"/>
      <c r="R16" s="3"/>
    </row>
    <row r="17" spans="1:18" ht="16.5" customHeight="1" x14ac:dyDescent="0.2">
      <c r="A17" s="727"/>
      <c r="B17" s="724">
        <v>6027</v>
      </c>
      <c r="C17" s="184"/>
      <c r="D17" s="403" t="s">
        <v>938</v>
      </c>
      <c r="E17" s="173"/>
      <c r="F17" s="404"/>
      <c r="G17" s="404"/>
      <c r="H17" s="62">
        <f t="shared" si="0"/>
        <v>0</v>
      </c>
      <c r="I17" s="161"/>
      <c r="J17" s="404"/>
      <c r="K17" s="3"/>
      <c r="L17" s="3"/>
      <c r="M17" s="3"/>
      <c r="N17" s="3"/>
      <c r="O17" s="726"/>
      <c r="P17" s="3"/>
      <c r="Q17" s="3"/>
      <c r="R17" s="3"/>
    </row>
    <row r="18" spans="1:18" ht="16.5" customHeight="1" x14ac:dyDescent="0.2">
      <c r="A18" s="727"/>
      <c r="B18" s="724">
        <v>6028</v>
      </c>
      <c r="C18" s="184"/>
      <c r="D18" s="403" t="s">
        <v>939</v>
      </c>
      <c r="E18" s="182"/>
      <c r="F18" s="404"/>
      <c r="G18" s="404"/>
      <c r="H18" s="62">
        <f t="shared" si="0"/>
        <v>0</v>
      </c>
      <c r="I18" s="161"/>
      <c r="J18" s="404"/>
      <c r="K18" s="3"/>
      <c r="L18" s="3"/>
      <c r="M18" s="3"/>
      <c r="N18" s="3"/>
      <c r="O18" s="726"/>
      <c r="P18" s="3"/>
      <c r="Q18" s="3"/>
      <c r="R18" s="3"/>
    </row>
    <row r="19" spans="1:18" ht="16.5" customHeight="1" x14ac:dyDescent="0.2">
      <c r="A19" s="727"/>
      <c r="B19" s="724">
        <v>6032</v>
      </c>
      <c r="C19" s="184"/>
      <c r="D19" s="403" t="s">
        <v>940</v>
      </c>
      <c r="E19" s="182"/>
      <c r="F19" s="404"/>
      <c r="G19" s="404"/>
      <c r="H19" s="62">
        <f t="shared" si="0"/>
        <v>0</v>
      </c>
      <c r="I19" s="161"/>
      <c r="J19" s="404"/>
      <c r="K19" s="3"/>
      <c r="L19" s="3"/>
      <c r="M19" s="3"/>
      <c r="N19" s="3"/>
      <c r="O19" s="726"/>
      <c r="P19" s="3"/>
      <c r="Q19" s="3"/>
      <c r="R19" s="3"/>
    </row>
    <row r="20" spans="1:18" ht="16.5" customHeight="1" x14ac:dyDescent="0.2">
      <c r="A20" s="727"/>
      <c r="B20" s="724">
        <v>6040</v>
      </c>
      <c r="C20" s="184"/>
      <c r="D20" s="403" t="s">
        <v>941</v>
      </c>
      <c r="E20" s="182"/>
      <c r="F20" s="404"/>
      <c r="G20" s="404"/>
      <c r="H20" s="62">
        <f t="shared" si="0"/>
        <v>0</v>
      </c>
      <c r="I20" s="161"/>
      <c r="J20" s="404"/>
      <c r="K20" s="3"/>
      <c r="L20" s="3"/>
      <c r="M20" s="3"/>
      <c r="N20" s="3"/>
      <c r="O20" s="726"/>
      <c r="P20" s="3"/>
      <c r="Q20" s="3"/>
      <c r="R20" s="3"/>
    </row>
    <row r="21" spans="1:18" ht="16.5" customHeight="1" x14ac:dyDescent="0.2">
      <c r="A21" s="727"/>
      <c r="B21" s="724">
        <v>6044</v>
      </c>
      <c r="C21" s="184"/>
      <c r="D21" s="403" t="s">
        <v>942</v>
      </c>
      <c r="E21" s="182"/>
      <c r="F21" s="404"/>
      <c r="G21" s="404"/>
      <c r="H21" s="62">
        <f t="shared" si="0"/>
        <v>0</v>
      </c>
      <c r="I21" s="161"/>
      <c r="J21" s="404"/>
      <c r="K21" s="3"/>
      <c r="L21" s="3"/>
      <c r="M21" s="3"/>
      <c r="N21" s="3"/>
      <c r="O21" s="726"/>
      <c r="P21" s="3"/>
      <c r="Q21" s="3"/>
      <c r="R21" s="3"/>
    </row>
    <row r="22" spans="1:18" ht="16.5" customHeight="1" x14ac:dyDescent="0.2">
      <c r="A22" s="727"/>
      <c r="B22" s="724">
        <v>6048</v>
      </c>
      <c r="C22" s="184"/>
      <c r="D22" s="403" t="s">
        <v>943</v>
      </c>
      <c r="E22" s="182"/>
      <c r="F22" s="404"/>
      <c r="G22" s="404"/>
      <c r="H22" s="62">
        <f t="shared" si="0"/>
        <v>0</v>
      </c>
      <c r="I22" s="161"/>
      <c r="J22" s="404"/>
      <c r="K22" s="3"/>
      <c r="L22" s="3"/>
      <c r="M22" s="3"/>
      <c r="N22" s="3"/>
      <c r="O22" s="726"/>
      <c r="P22" s="3"/>
      <c r="Q22" s="3"/>
      <c r="R22" s="3"/>
    </row>
    <row r="23" spans="1:18" ht="16.5" customHeight="1" x14ac:dyDescent="0.2">
      <c r="A23" s="727"/>
      <c r="B23" s="724">
        <v>6052</v>
      </c>
      <c r="C23" s="184"/>
      <c r="D23" s="403" t="s">
        <v>944</v>
      </c>
      <c r="E23" s="183"/>
      <c r="F23" s="404"/>
      <c r="G23" s="404"/>
      <c r="H23" s="62">
        <f t="shared" si="0"/>
        <v>0</v>
      </c>
      <c r="I23" s="161"/>
      <c r="J23" s="404"/>
      <c r="K23" s="3"/>
      <c r="L23" s="3"/>
      <c r="M23" s="3"/>
      <c r="N23" s="3"/>
      <c r="O23" s="726"/>
      <c r="P23" s="3"/>
      <c r="Q23" s="3"/>
      <c r="R23" s="3"/>
    </row>
    <row r="24" spans="1:18" ht="16.5" customHeight="1" x14ac:dyDescent="0.2">
      <c r="A24" s="727"/>
      <c r="B24" s="724">
        <v>6056</v>
      </c>
      <c r="C24" s="184"/>
      <c r="D24" s="403" t="s">
        <v>945</v>
      </c>
      <c r="E24" s="173"/>
      <c r="F24" s="404"/>
      <c r="G24" s="404"/>
      <c r="H24" s="62">
        <f t="shared" si="0"/>
        <v>0</v>
      </c>
      <c r="I24" s="161"/>
      <c r="J24" s="404"/>
      <c r="K24" s="3"/>
      <c r="L24" s="3"/>
      <c r="M24" s="3"/>
      <c r="N24" s="3"/>
      <c r="O24" s="726"/>
      <c r="P24" s="3"/>
      <c r="Q24" s="3"/>
      <c r="R24" s="3"/>
    </row>
    <row r="25" spans="1:18" ht="16.5" customHeight="1" x14ac:dyDescent="0.2">
      <c r="A25" s="727"/>
      <c r="B25" s="724">
        <v>6064</v>
      </c>
      <c r="C25" s="184"/>
      <c r="D25" s="403" t="s">
        <v>946</v>
      </c>
      <c r="E25" s="182"/>
      <c r="F25" s="404"/>
      <c r="G25" s="404"/>
      <c r="H25" s="62">
        <f t="shared" si="0"/>
        <v>0</v>
      </c>
      <c r="I25" s="161"/>
      <c r="J25" s="404"/>
      <c r="K25" s="3"/>
      <c r="L25" s="3"/>
      <c r="M25" s="3"/>
      <c r="N25" s="3"/>
      <c r="O25" s="725"/>
      <c r="P25" s="3"/>
      <c r="Q25" s="3"/>
      <c r="R25" s="3"/>
    </row>
    <row r="26" spans="1:18" ht="16.5" customHeight="1" x14ac:dyDescent="0.2">
      <c r="A26" s="727"/>
      <c r="B26" s="724">
        <v>6108</v>
      </c>
      <c r="C26" s="184"/>
      <c r="D26" s="403" t="s">
        <v>947</v>
      </c>
      <c r="E26" s="182"/>
      <c r="F26" s="404"/>
      <c r="G26" s="404"/>
      <c r="H26" s="145">
        <f t="shared" si="0"/>
        <v>0</v>
      </c>
      <c r="I26" s="161"/>
      <c r="J26" s="404"/>
      <c r="K26" s="3"/>
      <c r="L26" s="3"/>
      <c r="M26" s="3"/>
      <c r="N26" s="3"/>
      <c r="O26" s="725"/>
      <c r="P26" s="3"/>
      <c r="Q26" s="3"/>
      <c r="R26" s="3"/>
    </row>
    <row r="27" spans="1:18" ht="16.5" customHeight="1" x14ac:dyDescent="0.2">
      <c r="A27" s="727"/>
      <c r="B27" s="724">
        <v>6112</v>
      </c>
      <c r="C27" s="184"/>
      <c r="D27" s="403" t="s">
        <v>948</v>
      </c>
      <c r="E27" s="182"/>
      <c r="F27" s="404"/>
      <c r="G27" s="404"/>
      <c r="H27" s="145">
        <f t="shared" si="0"/>
        <v>0</v>
      </c>
      <c r="I27" s="161"/>
      <c r="J27" s="404"/>
      <c r="K27" s="3"/>
      <c r="L27" s="3"/>
      <c r="M27" s="3"/>
      <c r="N27" s="3"/>
      <c r="O27" s="725"/>
      <c r="P27" s="3"/>
      <c r="Q27" s="3"/>
      <c r="R27" s="3"/>
    </row>
    <row r="28" spans="1:18" ht="16.5" customHeight="1" x14ac:dyDescent="0.2">
      <c r="A28" s="727"/>
      <c r="B28" s="724">
        <v>6116</v>
      </c>
      <c r="C28" s="184"/>
      <c r="D28" s="403" t="s">
        <v>949</v>
      </c>
      <c r="E28" s="182"/>
      <c r="F28" s="404"/>
      <c r="G28" s="404"/>
      <c r="H28" s="145">
        <f t="shared" si="0"/>
        <v>0</v>
      </c>
      <c r="I28" s="161"/>
      <c r="J28" s="404"/>
      <c r="K28" s="3"/>
      <c r="L28" s="3"/>
      <c r="M28" s="3"/>
      <c r="N28" s="3"/>
      <c r="O28" s="725"/>
      <c r="P28" s="3"/>
      <c r="Q28" s="3"/>
      <c r="R28" s="3"/>
    </row>
    <row r="29" spans="1:18" ht="16.5" customHeight="1" x14ac:dyDescent="0.2">
      <c r="A29" s="727"/>
      <c r="B29" s="724">
        <v>6124</v>
      </c>
      <c r="C29" s="184"/>
      <c r="D29" s="403" t="s">
        <v>950</v>
      </c>
      <c r="E29" s="182"/>
      <c r="F29" s="404"/>
      <c r="G29" s="404"/>
      <c r="H29" s="145">
        <f t="shared" si="0"/>
        <v>0</v>
      </c>
      <c r="I29" s="161"/>
      <c r="J29" s="404"/>
      <c r="K29" s="3"/>
      <c r="L29" s="3"/>
      <c r="M29" s="3"/>
      <c r="N29" s="3"/>
      <c r="O29" s="725"/>
      <c r="P29" s="3"/>
      <c r="Q29" s="3"/>
      <c r="R29" s="3"/>
    </row>
    <row r="30" spans="1:18" ht="16.5" customHeight="1" x14ac:dyDescent="0.2">
      <c r="A30" s="727"/>
      <c r="B30" s="724">
        <v>6128</v>
      </c>
      <c r="C30" s="184"/>
      <c r="D30" s="403" t="s">
        <v>951</v>
      </c>
      <c r="E30" s="182"/>
      <c r="F30" s="404"/>
      <c r="G30" s="404"/>
      <c r="H30" s="145">
        <f t="shared" si="0"/>
        <v>0</v>
      </c>
      <c r="I30" s="161"/>
      <c r="J30" s="404"/>
      <c r="K30" s="3"/>
      <c r="L30" s="3"/>
      <c r="M30" s="3"/>
      <c r="N30" s="3"/>
      <c r="O30" s="725"/>
      <c r="P30" s="3"/>
      <c r="Q30" s="3"/>
      <c r="R30" s="3"/>
    </row>
    <row r="31" spans="1:18" ht="16.5" customHeight="1" x14ac:dyDescent="0.2">
      <c r="A31" s="727"/>
      <c r="B31" s="724">
        <v>6132</v>
      </c>
      <c r="C31" s="184"/>
      <c r="D31" s="403" t="s">
        <v>952</v>
      </c>
      <c r="E31" s="182"/>
      <c r="F31" s="404"/>
      <c r="G31" s="404"/>
      <c r="H31" s="145">
        <f t="shared" si="0"/>
        <v>0</v>
      </c>
      <c r="I31" s="161"/>
      <c r="J31" s="404"/>
      <c r="K31" s="3"/>
      <c r="L31" s="3"/>
      <c r="M31" s="3"/>
      <c r="N31" s="3"/>
      <c r="O31" s="725"/>
      <c r="P31" s="3"/>
      <c r="Q31" s="3"/>
      <c r="R31" s="3"/>
    </row>
    <row r="32" spans="1:18" ht="16.5" customHeight="1" x14ac:dyDescent="0.2">
      <c r="A32" s="727"/>
      <c r="B32" s="724">
        <v>6136</v>
      </c>
      <c r="C32" s="184"/>
      <c r="D32" s="403" t="s">
        <v>953</v>
      </c>
      <c r="E32" s="182"/>
      <c r="F32" s="404"/>
      <c r="G32" s="404"/>
      <c r="H32" s="145">
        <f t="shared" si="0"/>
        <v>0</v>
      </c>
      <c r="I32" s="161"/>
      <c r="J32" s="404"/>
      <c r="K32" s="3"/>
      <c r="L32" s="3"/>
      <c r="M32" s="3"/>
      <c r="N32" s="3"/>
      <c r="O32" s="725"/>
      <c r="P32" s="3"/>
      <c r="Q32" s="3"/>
      <c r="R32" s="3"/>
    </row>
    <row r="33" spans="1:18" ht="16.5" customHeight="1" x14ac:dyDescent="0.2">
      <c r="A33" s="727"/>
      <c r="B33" s="724"/>
      <c r="C33" s="184"/>
      <c r="D33" s="403"/>
      <c r="E33" s="183"/>
      <c r="F33" s="404"/>
      <c r="G33" s="404"/>
      <c r="H33" s="145">
        <f t="shared" si="0"/>
        <v>0</v>
      </c>
      <c r="I33" s="161"/>
      <c r="J33" s="404"/>
      <c r="K33" s="3"/>
      <c r="L33" s="3"/>
      <c r="M33" s="3"/>
      <c r="N33" s="3"/>
      <c r="O33" s="3"/>
      <c r="P33" s="3"/>
      <c r="Q33" s="3"/>
      <c r="R33" s="3"/>
    </row>
    <row r="34" spans="1:18" ht="16.5" customHeight="1" x14ac:dyDescent="0.2">
      <c r="A34" s="727"/>
      <c r="B34" s="724"/>
      <c r="C34" s="184"/>
      <c r="D34" s="403"/>
      <c r="E34" s="183"/>
      <c r="F34" s="404"/>
      <c r="G34" s="404"/>
      <c r="H34" s="145">
        <f>SUM(F34:G34)</f>
        <v>0</v>
      </c>
      <c r="I34" s="161"/>
      <c r="J34" s="404"/>
      <c r="K34" s="3"/>
      <c r="L34" s="3"/>
      <c r="M34" s="3"/>
      <c r="N34" s="3"/>
      <c r="O34" s="3"/>
      <c r="P34" s="3"/>
      <c r="Q34" s="3"/>
      <c r="R34" s="3"/>
    </row>
    <row r="35" spans="1:18" ht="16.5" customHeight="1" x14ac:dyDescent="0.2">
      <c r="A35" s="727"/>
      <c r="B35" s="724"/>
      <c r="C35" s="184"/>
      <c r="D35" s="403"/>
      <c r="E35" s="183"/>
      <c r="F35" s="404"/>
      <c r="G35" s="404"/>
      <c r="H35" s="145">
        <f>SUM(F35:G35)</f>
        <v>0</v>
      </c>
      <c r="I35" s="161"/>
      <c r="J35" s="404"/>
      <c r="K35" s="3"/>
      <c r="L35" s="3"/>
      <c r="M35" s="3"/>
      <c r="N35" s="3"/>
      <c r="O35" s="3"/>
      <c r="P35" s="3"/>
      <c r="Q35" s="3"/>
      <c r="R35" s="3"/>
    </row>
    <row r="36" spans="1:18" ht="16.5" customHeight="1" x14ac:dyDescent="0.2">
      <c r="A36" s="727"/>
      <c r="B36" s="724"/>
      <c r="C36" s="184"/>
      <c r="D36" s="403"/>
      <c r="E36" s="183"/>
      <c r="F36" s="404"/>
      <c r="G36" s="404"/>
      <c r="H36" s="145">
        <f>SUM(F36:G36)</f>
        <v>0</v>
      </c>
      <c r="I36" s="161"/>
      <c r="J36" s="404"/>
      <c r="K36" s="3"/>
      <c r="L36" s="3"/>
      <c r="M36" s="3"/>
      <c r="N36" s="3"/>
      <c r="O36" s="3"/>
      <c r="P36" s="3"/>
      <c r="Q36" s="3"/>
      <c r="R36" s="3"/>
    </row>
    <row r="37" spans="1:18" ht="16.5" customHeight="1" x14ac:dyDescent="0.2">
      <c r="A37" s="727"/>
      <c r="B37" s="724"/>
      <c r="C37" s="184"/>
      <c r="D37" s="403"/>
      <c r="E37" s="183"/>
      <c r="F37" s="404"/>
      <c r="G37" s="404"/>
      <c r="H37" s="145">
        <f t="shared" si="0"/>
        <v>0</v>
      </c>
      <c r="I37" s="161"/>
      <c r="J37" s="404"/>
      <c r="K37" s="3"/>
      <c r="L37" s="3"/>
      <c r="M37" s="3"/>
      <c r="N37" s="3"/>
      <c r="O37" s="3"/>
      <c r="P37" s="3"/>
      <c r="Q37" s="3"/>
      <c r="R37" s="3"/>
    </row>
    <row r="38" spans="1:18" ht="16.5" customHeight="1" x14ac:dyDescent="0.2">
      <c r="A38" s="172"/>
      <c r="B38" s="380" t="s">
        <v>665</v>
      </c>
      <c r="C38" s="184"/>
      <c r="D38" s="381" t="s">
        <v>354</v>
      </c>
      <c r="E38" s="182"/>
      <c r="F38" s="404"/>
      <c r="G38" s="404"/>
      <c r="H38" s="145">
        <f t="shared" si="0"/>
        <v>0</v>
      </c>
      <c r="I38" s="98"/>
      <c r="J38" s="404"/>
      <c r="K38" s="3"/>
      <c r="L38" s="3"/>
      <c r="M38" s="3"/>
      <c r="N38" s="3"/>
      <c r="O38" s="3"/>
      <c r="P38" s="3"/>
      <c r="Q38" s="3"/>
      <c r="R38" s="3"/>
    </row>
    <row r="39" spans="1:18" ht="12" customHeight="1" thickBot="1" x14ac:dyDescent="0.25">
      <c r="A39" s="172"/>
      <c r="B39" s="186"/>
      <c r="C39" s="184"/>
      <c r="D39" s="193"/>
      <c r="E39" s="183"/>
      <c r="F39" s="183"/>
      <c r="G39" s="183"/>
      <c r="H39" s="174"/>
      <c r="I39" s="173"/>
      <c r="J39" s="174"/>
      <c r="K39" s="3"/>
      <c r="L39" s="3"/>
      <c r="M39" s="3"/>
      <c r="N39" s="3"/>
      <c r="O39" s="3"/>
      <c r="P39" s="3"/>
      <c r="Q39" s="3"/>
      <c r="R39" s="3"/>
    </row>
    <row r="40" spans="1:18" ht="13.5" thickTop="1" thickBot="1" x14ac:dyDescent="0.25">
      <c r="A40" s="172"/>
      <c r="B40" s="186"/>
      <c r="C40" s="184"/>
      <c r="D40" s="194" t="s">
        <v>930</v>
      </c>
      <c r="E40" s="173"/>
      <c r="F40" s="97">
        <f>SUM(F10:F39)</f>
        <v>0</v>
      </c>
      <c r="G40" s="97">
        <f>SUM(G10:G39)</f>
        <v>0</v>
      </c>
      <c r="H40" s="100">
        <f>SUM(H10:H39)</f>
        <v>0</v>
      </c>
      <c r="I40" s="173"/>
      <c r="J40" s="100">
        <f>SUM(J10:J38)</f>
        <v>0</v>
      </c>
      <c r="K40" s="3"/>
      <c r="L40" s="3"/>
      <c r="M40" s="3"/>
      <c r="N40" s="3"/>
      <c r="O40" s="3"/>
      <c r="P40" s="3"/>
      <c r="Q40" s="3"/>
      <c r="R40" s="3"/>
    </row>
    <row r="41" spans="1:18" ht="12.75" thickTop="1" x14ac:dyDescent="0.2">
      <c r="D41" s="261" t="s">
        <v>3238</v>
      </c>
    </row>
    <row r="42" spans="1:18" x14ac:dyDescent="0.2">
      <c r="D42" s="261"/>
    </row>
  </sheetData>
  <sheetProtection algorithmName="SHA-512" hashValue="ka/xJkEp+zgkKKcyfXiCdXFt/Vx6+B7FfQFsyc4UjhLDWf/h2QcWj/Ir2o5I/kKGMApJgBr74Cfcf4yUs2lSBg==" saltValue="X8yf+2ps5fSrWr8ypxWNSw==" spinCount="100000" sheet="1" objects="1" scenarios="1"/>
  <mergeCells count="1">
    <mergeCell ref="H3:J3"/>
  </mergeCells>
  <phoneticPr fontId="7" type="noConversion"/>
  <dataValidations count="2">
    <dataValidation allowBlank="1" showInputMessage="1" showErrorMessage="1" promptTitle="Other Sub Objects" prompt="Include total for all other Operations expenses that do not need to be itemized separately." sqref="B38"/>
    <dataValidation allowBlank="1" showInputMessage="1" showErrorMessage="1" promptTitle="'Other' Operations" prompt="Itemize any sub-object category with projected annual expenses of $1,000 or more.  All other categories can be combined as one total under 'Other'." sqref="D38"/>
  </dataValidations>
  <pageMargins left="0.25" right="0.25" top="0.5" bottom="0.25" header="0" footer="0"/>
  <pageSetup scale="83" orientation="portrait" r:id="rId1"/>
  <headerFooter alignWithMargins="0"/>
  <extLst>
    <ext xmlns:x14="http://schemas.microsoft.com/office/spreadsheetml/2009/9/main" uri="{CCE6A557-97BC-4b89-ADB6-D9C93CAAB3DF}">
      <x14:dataValidations xmlns:xm="http://schemas.microsoft.com/office/excel/2006/main" count="1">
        <x14:dataValidation type="list" errorStyle="warning" allowBlank="1" showInputMessage="1" showErrorMessage="1" errorTitle="Month End Date" error="Enter Month End Date of Report Used:_x000a__x000a_01/31/18_x000a_02/28/18_x000a_03/31/18" promptTitle="Month End Report Period" prompt="Use the last CLOSED PERIOD in the Workday Manager Balance report for the Year-To-Date amounts. ">
          <x14:formula1>
            <xm:f>'SUMMARY FORM'!$AA$4:$AA$8</xm:f>
          </x14:formula1>
          <xm:sqref>F8</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M84"/>
  <sheetViews>
    <sheetView zoomScaleNormal="100" workbookViewId="0">
      <pane xSplit="1" ySplit="5" topLeftCell="B6" activePane="bottomRight" state="frozen"/>
      <selection activeCell="N6" sqref="N6"/>
      <selection pane="topRight" activeCell="N6" sqref="N6"/>
      <selection pane="bottomLeft" activeCell="N6" sqref="N6"/>
      <selection pane="bottomRight" activeCell="B3" sqref="B3"/>
    </sheetView>
  </sheetViews>
  <sheetFormatPr defaultColWidth="9.140625" defaultRowHeight="12.75" x14ac:dyDescent="0.2"/>
  <cols>
    <col min="1" max="1" width="3.28515625" style="13" customWidth="1"/>
    <col min="2" max="2" width="26.85546875" style="13" customWidth="1"/>
    <col min="3" max="3" width="46.42578125" style="13" bestFit="1" customWidth="1"/>
    <col min="4" max="4" width="17" style="13" customWidth="1"/>
    <col min="5" max="5" width="16.85546875" style="13" customWidth="1"/>
    <col min="6" max="6" width="3.140625" style="1167" customWidth="1"/>
    <col min="7" max="16384" width="9.140625" style="13"/>
  </cols>
  <sheetData>
    <row r="1" spans="1:6" ht="13.5" thickBot="1" x14ac:dyDescent="0.25">
      <c r="A1" s="191" t="str">
        <f>'SUMMARY FORM'!A2</f>
        <v>FY21 SELF-SUPPORTING BUDGET REQUEST</v>
      </c>
      <c r="B1" s="191"/>
      <c r="C1" s="192"/>
      <c r="D1" s="192"/>
      <c r="E1" s="423" t="s">
        <v>681</v>
      </c>
    </row>
    <row r="2" spans="1:6" x14ac:dyDescent="0.2">
      <c r="E2" s="303" t="s">
        <v>611</v>
      </c>
    </row>
    <row r="3" spans="1:6" x14ac:dyDescent="0.2">
      <c r="B3" s="15" t="s">
        <v>533</v>
      </c>
      <c r="D3" s="1447" t="str">
        <f>'SUMMARY FORM'!AF2</f>
        <v>0  0  0  NEW</v>
      </c>
      <c r="E3" s="1448"/>
    </row>
    <row r="4" spans="1:6" x14ac:dyDescent="0.2">
      <c r="B4" s="1449" t="s">
        <v>367</v>
      </c>
      <c r="C4" s="1073" t="s">
        <v>358</v>
      </c>
      <c r="D4" s="418" t="str">
        <f>'SUMMARY FORM'!J15</f>
        <v>FY20</v>
      </c>
      <c r="E4" s="418" t="str">
        <f>'SUMMARY FORM'!N15</f>
        <v>FY21</v>
      </c>
    </row>
    <row r="5" spans="1:6" x14ac:dyDescent="0.2">
      <c r="B5" s="1450"/>
      <c r="C5" s="1074" t="s">
        <v>1288</v>
      </c>
      <c r="D5" s="197" t="s">
        <v>554</v>
      </c>
      <c r="E5" s="197" t="s">
        <v>539</v>
      </c>
    </row>
    <row r="6" spans="1:6" s="14" customFormat="1" ht="16.5" customHeight="1" x14ac:dyDescent="0.2">
      <c r="A6" s="90">
        <v>1</v>
      </c>
      <c r="B6" s="405"/>
      <c r="C6" s="406"/>
      <c r="D6" s="407"/>
      <c r="E6" s="407"/>
      <c r="F6" s="1168"/>
    </row>
    <row r="7" spans="1:6" ht="16.5" customHeight="1" x14ac:dyDescent="0.2">
      <c r="A7" s="91">
        <v>2</v>
      </c>
      <c r="B7" s="405"/>
      <c r="C7" s="406"/>
      <c r="D7" s="407"/>
      <c r="E7" s="407"/>
    </row>
    <row r="8" spans="1:6" ht="16.5" customHeight="1" x14ac:dyDescent="0.2">
      <c r="A8" s="91">
        <v>3</v>
      </c>
      <c r="B8" s="405"/>
      <c r="C8" s="406"/>
      <c r="D8" s="407"/>
      <c r="E8" s="407"/>
    </row>
    <row r="9" spans="1:6" ht="16.5" customHeight="1" x14ac:dyDescent="0.2">
      <c r="A9" s="90">
        <v>4</v>
      </c>
      <c r="B9" s="405"/>
      <c r="C9" s="406"/>
      <c r="D9" s="407"/>
      <c r="E9" s="407"/>
    </row>
    <row r="10" spans="1:6" ht="16.5" customHeight="1" x14ac:dyDescent="0.2">
      <c r="A10" s="91">
        <v>5</v>
      </c>
      <c r="B10" s="405"/>
      <c r="C10" s="406"/>
      <c r="D10" s="407"/>
      <c r="E10" s="407"/>
    </row>
    <row r="11" spans="1:6" ht="16.5" customHeight="1" x14ac:dyDescent="0.2">
      <c r="A11" s="91">
        <v>6</v>
      </c>
      <c r="B11" s="405"/>
      <c r="C11" s="406"/>
      <c r="D11" s="407"/>
      <c r="E11" s="407"/>
    </row>
    <row r="12" spans="1:6" ht="16.5" customHeight="1" x14ac:dyDescent="0.2">
      <c r="A12" s="90">
        <v>7</v>
      </c>
      <c r="B12" s="405"/>
      <c r="C12" s="406"/>
      <c r="D12" s="407"/>
      <c r="E12" s="407"/>
    </row>
    <row r="13" spans="1:6" ht="16.5" customHeight="1" x14ac:dyDescent="0.2">
      <c r="A13" s="91">
        <v>8</v>
      </c>
      <c r="B13" s="405"/>
      <c r="C13" s="406"/>
      <c r="D13" s="407"/>
      <c r="E13" s="407"/>
    </row>
    <row r="14" spans="1:6" ht="16.5" customHeight="1" x14ac:dyDescent="0.2">
      <c r="A14" s="91">
        <v>9</v>
      </c>
      <c r="B14" s="405"/>
      <c r="C14" s="406"/>
      <c r="D14" s="407"/>
      <c r="E14" s="407"/>
    </row>
    <row r="15" spans="1:6" ht="16.5" customHeight="1" x14ac:dyDescent="0.2">
      <c r="A15" s="90">
        <v>10</v>
      </c>
      <c r="B15" s="405"/>
      <c r="C15" s="406"/>
      <c r="D15" s="407"/>
      <c r="E15" s="407"/>
    </row>
    <row r="16" spans="1:6" ht="16.5" customHeight="1" x14ac:dyDescent="0.2">
      <c r="A16" s="91">
        <v>11</v>
      </c>
      <c r="B16" s="405"/>
      <c r="C16" s="406"/>
      <c r="D16" s="407"/>
      <c r="E16" s="407"/>
    </row>
    <row r="17" spans="1:7" ht="16.5" customHeight="1" x14ac:dyDescent="0.2">
      <c r="A17" s="91">
        <v>12</v>
      </c>
      <c r="B17" s="405"/>
      <c r="C17" s="406"/>
      <c r="D17" s="407"/>
      <c r="E17" s="407"/>
    </row>
    <row r="18" spans="1:7" ht="16.5" customHeight="1" x14ac:dyDescent="0.2">
      <c r="A18" s="90">
        <v>13</v>
      </c>
      <c r="B18" s="405"/>
      <c r="C18" s="406"/>
      <c r="D18" s="407"/>
      <c r="E18" s="407"/>
    </row>
    <row r="19" spans="1:7" ht="16.5" customHeight="1" x14ac:dyDescent="0.2">
      <c r="A19" s="91">
        <v>14</v>
      </c>
      <c r="B19" s="405"/>
      <c r="C19" s="406"/>
      <c r="D19" s="407"/>
      <c r="E19" s="407"/>
    </row>
    <row r="20" spans="1:7" ht="16.5" customHeight="1" x14ac:dyDescent="0.2">
      <c r="A20" s="91">
        <v>15</v>
      </c>
      <c r="B20" s="405"/>
      <c r="C20" s="406"/>
      <c r="D20" s="407"/>
      <c r="E20" s="407"/>
    </row>
    <row r="21" spans="1:7" ht="16.5" customHeight="1" x14ac:dyDescent="0.2">
      <c r="A21" s="90">
        <v>16</v>
      </c>
      <c r="B21" s="405"/>
      <c r="C21" s="406"/>
      <c r="D21" s="407"/>
      <c r="E21" s="407"/>
    </row>
    <row r="22" spans="1:7" ht="16.5" customHeight="1" x14ac:dyDescent="0.2">
      <c r="A22" s="91">
        <v>17</v>
      </c>
      <c r="B22" s="405"/>
      <c r="C22" s="406"/>
      <c r="D22" s="407"/>
      <c r="E22" s="407"/>
    </row>
    <row r="23" spans="1:7" ht="16.5" customHeight="1" x14ac:dyDescent="0.2">
      <c r="A23" s="91">
        <v>18</v>
      </c>
      <c r="B23" s="405"/>
      <c r="C23" s="406"/>
      <c r="D23" s="407"/>
      <c r="E23" s="407"/>
    </row>
    <row r="24" spans="1:7" ht="16.5" customHeight="1" x14ac:dyDescent="0.2">
      <c r="A24" s="90">
        <v>19</v>
      </c>
      <c r="B24" s="405"/>
      <c r="C24" s="406"/>
      <c r="D24" s="407"/>
      <c r="E24" s="407"/>
    </row>
    <row r="25" spans="1:7" ht="24.75" customHeight="1" x14ac:dyDescent="0.2">
      <c r="A25" s="752">
        <v>20</v>
      </c>
      <c r="B25" s="751" t="s">
        <v>1023</v>
      </c>
      <c r="C25" s="753" t="s">
        <v>1021</v>
      </c>
      <c r="D25" s="1075">
        <f>IF('SUMMARY FORM'!$J$6="FD415",0,(IF('SUMMARY FORM'!$J$6="FD412",0,(IF('SUMMARY FORM'!$J$6="FD217",0,(IF(D58="Y",0,'SUMMARY FORM'!$J$23*0.035)))))))</f>
        <v>0</v>
      </c>
      <c r="E25" s="1075">
        <f>IF('SUMMARY FORM'!$J$6="FD415",0,(IF('SUMMARY FORM'!$J$6="FD412",0,(IF('SUMMARY FORM'!$J$6="FD217",0,(IF(E58="Y",0,'SUMMARY FORM'!$N$23*0.035)))))))</f>
        <v>0</v>
      </c>
      <c r="G25" s="1071"/>
    </row>
    <row r="26" spans="1:7" ht="16.5" hidden="1" customHeight="1" x14ac:dyDescent="0.2">
      <c r="A26" s="91">
        <v>21</v>
      </c>
      <c r="B26" s="405"/>
      <c r="C26" s="406"/>
      <c r="D26" s="407"/>
      <c r="E26" s="407"/>
    </row>
    <row r="27" spans="1:7" ht="16.5" hidden="1" customHeight="1" x14ac:dyDescent="0.2">
      <c r="A27" s="90">
        <v>22</v>
      </c>
      <c r="B27" s="405"/>
      <c r="C27" s="406"/>
      <c r="D27" s="407"/>
      <c r="E27" s="407"/>
    </row>
    <row r="28" spans="1:7" ht="16.5" hidden="1" customHeight="1" x14ac:dyDescent="0.2">
      <c r="A28" s="91">
        <v>23</v>
      </c>
      <c r="B28" s="405"/>
      <c r="C28" s="406"/>
      <c r="D28" s="407"/>
      <c r="E28" s="407"/>
    </row>
    <row r="29" spans="1:7" ht="16.5" hidden="1" customHeight="1" x14ac:dyDescent="0.2">
      <c r="A29" s="91">
        <v>24</v>
      </c>
      <c r="B29" s="405"/>
      <c r="C29" s="406"/>
      <c r="D29" s="407"/>
      <c r="E29" s="407"/>
    </row>
    <row r="30" spans="1:7" ht="16.5" hidden="1" customHeight="1" x14ac:dyDescent="0.2">
      <c r="A30" s="90">
        <v>25</v>
      </c>
      <c r="B30" s="405"/>
      <c r="C30" s="406"/>
      <c r="D30" s="407"/>
      <c r="E30" s="407"/>
    </row>
    <row r="31" spans="1:7" hidden="1" x14ac:dyDescent="0.2">
      <c r="A31" s="91">
        <v>26</v>
      </c>
      <c r="B31" s="405"/>
      <c r="C31" s="406"/>
      <c r="D31" s="407"/>
      <c r="E31" s="407"/>
    </row>
    <row r="32" spans="1:7" hidden="1" x14ac:dyDescent="0.2">
      <c r="A32" s="91">
        <v>27</v>
      </c>
      <c r="B32" s="405"/>
      <c r="C32" s="406"/>
      <c r="D32" s="407"/>
      <c r="E32" s="407"/>
    </row>
    <row r="33" spans="1:5" hidden="1" x14ac:dyDescent="0.2">
      <c r="A33" s="90">
        <v>28</v>
      </c>
      <c r="B33" s="405"/>
      <c r="C33" s="406"/>
      <c r="D33" s="407"/>
      <c r="E33" s="407"/>
    </row>
    <row r="34" spans="1:5" hidden="1" x14ac:dyDescent="0.2">
      <c r="A34" s="91">
        <v>29</v>
      </c>
      <c r="B34" s="405"/>
      <c r="C34" s="406"/>
      <c r="D34" s="407"/>
      <c r="E34" s="407"/>
    </row>
    <row r="35" spans="1:5" hidden="1" x14ac:dyDescent="0.2">
      <c r="A35" s="91">
        <v>30</v>
      </c>
      <c r="B35" s="405"/>
      <c r="C35" s="406"/>
      <c r="D35" s="407"/>
      <c r="E35" s="407"/>
    </row>
    <row r="36" spans="1:5" hidden="1" x14ac:dyDescent="0.2">
      <c r="A36" s="90">
        <v>31</v>
      </c>
      <c r="B36" s="405"/>
      <c r="C36" s="406"/>
      <c r="D36" s="408"/>
      <c r="E36" s="408"/>
    </row>
    <row r="37" spans="1:5" hidden="1" x14ac:dyDescent="0.2">
      <c r="A37" s="91">
        <v>32</v>
      </c>
      <c r="B37" s="405"/>
      <c r="C37" s="406"/>
      <c r="D37" s="408"/>
      <c r="E37" s="408"/>
    </row>
    <row r="38" spans="1:5" hidden="1" x14ac:dyDescent="0.2">
      <c r="A38" s="91">
        <v>33</v>
      </c>
      <c r="B38" s="405"/>
      <c r="C38" s="406"/>
      <c r="D38" s="408"/>
      <c r="E38" s="408"/>
    </row>
    <row r="39" spans="1:5" hidden="1" x14ac:dyDescent="0.2">
      <c r="A39" s="90">
        <v>34</v>
      </c>
      <c r="B39" s="405"/>
      <c r="C39" s="406"/>
      <c r="D39" s="408"/>
      <c r="E39" s="408"/>
    </row>
    <row r="40" spans="1:5" hidden="1" x14ac:dyDescent="0.2">
      <c r="A40" s="91">
        <v>35</v>
      </c>
      <c r="B40" s="405"/>
      <c r="C40" s="406"/>
      <c r="D40" s="408"/>
      <c r="E40" s="408"/>
    </row>
    <row r="41" spans="1:5" hidden="1" x14ac:dyDescent="0.2">
      <c r="A41" s="91">
        <v>36</v>
      </c>
      <c r="B41" s="405"/>
      <c r="C41" s="406"/>
      <c r="D41" s="408"/>
      <c r="E41" s="408"/>
    </row>
    <row r="42" spans="1:5" hidden="1" x14ac:dyDescent="0.2">
      <c r="A42" s="90">
        <v>37</v>
      </c>
      <c r="B42" s="405"/>
      <c r="C42" s="406"/>
      <c r="D42" s="408"/>
      <c r="E42" s="408"/>
    </row>
    <row r="43" spans="1:5" hidden="1" x14ac:dyDescent="0.2">
      <c r="A43" s="91">
        <v>38</v>
      </c>
      <c r="B43" s="405"/>
      <c r="C43" s="406"/>
      <c r="D43" s="408"/>
      <c r="E43" s="408"/>
    </row>
    <row r="44" spans="1:5" hidden="1" x14ac:dyDescent="0.2">
      <c r="A44" s="90">
        <v>39</v>
      </c>
      <c r="B44" s="405"/>
      <c r="C44" s="406"/>
      <c r="D44" s="408"/>
      <c r="E44" s="408"/>
    </row>
    <row r="45" spans="1:5" hidden="1" x14ac:dyDescent="0.2">
      <c r="A45" s="91">
        <v>40</v>
      </c>
      <c r="B45" s="405"/>
      <c r="C45" s="406"/>
      <c r="D45" s="408"/>
      <c r="E45" s="408"/>
    </row>
    <row r="46" spans="1:5" hidden="1" x14ac:dyDescent="0.2">
      <c r="A46" s="90">
        <v>41</v>
      </c>
      <c r="B46" s="405"/>
      <c r="C46" s="406"/>
      <c r="D46" s="408"/>
      <c r="E46" s="408"/>
    </row>
    <row r="47" spans="1:5" hidden="1" x14ac:dyDescent="0.2">
      <c r="A47" s="91">
        <v>42</v>
      </c>
      <c r="B47" s="405"/>
      <c r="C47" s="406"/>
      <c r="D47" s="408"/>
      <c r="E47" s="408"/>
    </row>
    <row r="48" spans="1:5" hidden="1" x14ac:dyDescent="0.2">
      <c r="A48" s="90">
        <v>43</v>
      </c>
      <c r="B48" s="405"/>
      <c r="C48" s="406"/>
      <c r="D48" s="408"/>
      <c r="E48" s="408"/>
    </row>
    <row r="49" spans="1:13" hidden="1" x14ac:dyDescent="0.2">
      <c r="A49" s="91">
        <v>44</v>
      </c>
      <c r="B49" s="405"/>
      <c r="C49" s="406"/>
      <c r="D49" s="408"/>
      <c r="E49" s="408"/>
    </row>
    <row r="50" spans="1:13" hidden="1" x14ac:dyDescent="0.2">
      <c r="A50" s="90">
        <v>45</v>
      </c>
      <c r="B50" s="405"/>
      <c r="C50" s="406"/>
      <c r="D50" s="408"/>
      <c r="E50" s="408"/>
    </row>
    <row r="51" spans="1:13" hidden="1" x14ac:dyDescent="0.2">
      <c r="A51" s="91">
        <v>46</v>
      </c>
      <c r="B51" s="405"/>
      <c r="C51" s="406"/>
      <c r="D51" s="408"/>
      <c r="E51" s="408"/>
    </row>
    <row r="52" spans="1:13" hidden="1" x14ac:dyDescent="0.2">
      <c r="A52" s="90">
        <v>47</v>
      </c>
      <c r="B52" s="405"/>
      <c r="C52" s="406"/>
      <c r="D52" s="408"/>
      <c r="E52" s="408"/>
    </row>
    <row r="53" spans="1:13" hidden="1" x14ac:dyDescent="0.2">
      <c r="A53" s="91">
        <v>48</v>
      </c>
      <c r="B53" s="405"/>
      <c r="C53" s="406"/>
      <c r="D53" s="408"/>
      <c r="E53" s="408"/>
    </row>
    <row r="54" spans="1:13" hidden="1" x14ac:dyDescent="0.2">
      <c r="A54" s="90">
        <v>49</v>
      </c>
      <c r="B54" s="405"/>
      <c r="C54" s="406"/>
      <c r="D54" s="408"/>
      <c r="E54" s="408"/>
    </row>
    <row r="55" spans="1:13" hidden="1" x14ac:dyDescent="0.2">
      <c r="A55" s="91">
        <v>50</v>
      </c>
      <c r="B55" s="405"/>
      <c r="C55" s="406"/>
      <c r="D55" s="409"/>
      <c r="E55" s="410"/>
    </row>
    <row r="56" spans="1:13" x14ac:dyDescent="0.2">
      <c r="C56" s="55" t="s">
        <v>682</v>
      </c>
      <c r="D56" s="274">
        <f>SUM(D6:D55)</f>
        <v>0</v>
      </c>
      <c r="E56" s="274">
        <f>SUM(E6:E55)</f>
        <v>0</v>
      </c>
    </row>
    <row r="57" spans="1:13" s="14" customFormat="1" ht="13.5" thickBot="1" x14ac:dyDescent="0.25">
      <c r="C57" s="743"/>
      <c r="D57" s="744"/>
      <c r="E57" s="744"/>
      <c r="F57" s="1168"/>
    </row>
    <row r="58" spans="1:13" s="1" customFormat="1" thickBot="1" x14ac:dyDescent="0.25">
      <c r="B58" s="96"/>
      <c r="C58" s="742" t="s">
        <v>963</v>
      </c>
      <c r="D58" s="746"/>
      <c r="E58" s="746"/>
      <c r="F58" s="1169"/>
      <c r="G58" s="3"/>
      <c r="H58" s="3"/>
      <c r="I58" s="3"/>
      <c r="J58" s="3"/>
      <c r="K58" s="3"/>
      <c r="L58" s="3"/>
      <c r="M58" s="3"/>
    </row>
    <row r="59" spans="1:13" s="1" customFormat="1" ht="12" x14ac:dyDescent="0.2">
      <c r="B59" s="96"/>
      <c r="C59" s="96"/>
      <c r="D59" s="745"/>
      <c r="E59" s="745" t="s">
        <v>964</v>
      </c>
      <c r="F59" s="1169"/>
      <c r="G59" s="3"/>
      <c r="H59" s="3"/>
      <c r="I59" s="3"/>
      <c r="J59" s="3"/>
      <c r="K59" s="3"/>
      <c r="L59" s="3"/>
      <c r="M59" s="3"/>
    </row>
    <row r="60" spans="1:13" s="1" customFormat="1" ht="12" x14ac:dyDescent="0.2">
      <c r="B60" s="1455" t="str">
        <f>'SUMMARY FORM'!N26&amp;" INSTRUCTIONS HIGHLIGHT:  ADMINISTRATIVE OVERHEAD"</f>
        <v xml:space="preserve"> INSTRUCTIONS HIGHLIGHT:  ADMINISTRATIVE OVERHEAD</v>
      </c>
      <c r="C60" s="1456"/>
      <c r="D60" s="1456"/>
      <c r="E60" s="1456"/>
      <c r="F60" s="1169"/>
      <c r="G60" s="3"/>
      <c r="H60" s="3"/>
      <c r="I60" s="3"/>
      <c r="J60" s="3"/>
      <c r="K60" s="3"/>
      <c r="L60" s="3"/>
      <c r="M60" s="3"/>
    </row>
    <row r="61" spans="1:13" s="1" customFormat="1" ht="12" x14ac:dyDescent="0.2">
      <c r="B61" s="1457" t="s">
        <v>884</v>
      </c>
      <c r="C61" s="1457"/>
      <c r="D61" s="1457"/>
      <c r="E61" s="1457"/>
      <c r="F61" s="1169"/>
      <c r="G61" s="3"/>
      <c r="H61" s="3"/>
      <c r="I61" s="3"/>
      <c r="J61" s="3"/>
      <c r="K61" s="3"/>
      <c r="L61" s="3"/>
      <c r="M61" s="3"/>
    </row>
    <row r="62" spans="1:13" s="1" customFormat="1" ht="12" x14ac:dyDescent="0.2">
      <c r="B62" s="1458" t="s">
        <v>1089</v>
      </c>
      <c r="C62" s="1458"/>
      <c r="D62" s="1458"/>
      <c r="E62" s="1458"/>
      <c r="F62" s="1169"/>
    </row>
    <row r="63" spans="1:13" s="1" customFormat="1" ht="12" x14ac:dyDescent="0.2">
      <c r="B63" s="1457" t="s">
        <v>1090</v>
      </c>
      <c r="C63" s="1457"/>
      <c r="D63" s="1457"/>
      <c r="E63" s="1457"/>
      <c r="F63" s="1169"/>
      <c r="G63" s="3"/>
      <c r="H63" s="3"/>
      <c r="I63" s="3"/>
      <c r="J63" s="3"/>
      <c r="K63" s="3"/>
      <c r="L63" s="3"/>
      <c r="M63" s="3"/>
    </row>
    <row r="64" spans="1:13" s="1" customFormat="1" ht="12" x14ac:dyDescent="0.2">
      <c r="B64" s="1457" t="s">
        <v>1091</v>
      </c>
      <c r="C64" s="1457"/>
      <c r="D64" s="1457"/>
      <c r="E64" s="1457"/>
      <c r="F64" s="1169"/>
      <c r="G64" s="3"/>
      <c r="H64" s="3"/>
      <c r="I64" s="3"/>
      <c r="J64" s="3"/>
      <c r="K64" s="3"/>
      <c r="L64" s="3"/>
      <c r="M64" s="3"/>
    </row>
    <row r="65" spans="1:6" ht="6.75" customHeight="1" x14ac:dyDescent="0.2"/>
    <row r="66" spans="1:6" x14ac:dyDescent="0.2">
      <c r="B66" s="15" t="s">
        <v>553</v>
      </c>
    </row>
    <row r="67" spans="1:6" x14ac:dyDescent="0.2">
      <c r="B67" s="754" t="s">
        <v>1024</v>
      </c>
    </row>
    <row r="68" spans="1:6" x14ac:dyDescent="0.2">
      <c r="B68" s="196"/>
      <c r="C68" s="196"/>
      <c r="D68" s="418" t="str">
        <f>D4</f>
        <v>FY20</v>
      </c>
      <c r="E68" s="418" t="str">
        <f>E4</f>
        <v>FY21</v>
      </c>
    </row>
    <row r="69" spans="1:6" x14ac:dyDescent="0.2">
      <c r="B69" s="197" t="s">
        <v>367</v>
      </c>
      <c r="C69" s="197" t="s">
        <v>358</v>
      </c>
      <c r="D69" s="197" t="s">
        <v>554</v>
      </c>
      <c r="E69" s="197" t="s">
        <v>539</v>
      </c>
    </row>
    <row r="70" spans="1:6" ht="16.5" customHeight="1" x14ac:dyDescent="0.2">
      <c r="A70" s="90">
        <v>1</v>
      </c>
      <c r="B70" s="405"/>
      <c r="C70" s="406"/>
      <c r="D70" s="407"/>
      <c r="E70" s="407"/>
    </row>
    <row r="71" spans="1:6" ht="16.5" customHeight="1" x14ac:dyDescent="0.2">
      <c r="A71" s="91">
        <v>2</v>
      </c>
      <c r="B71" s="405"/>
      <c r="C71" s="406"/>
      <c r="D71" s="407"/>
      <c r="E71" s="407"/>
    </row>
    <row r="72" spans="1:6" ht="16.5" customHeight="1" x14ac:dyDescent="0.2">
      <c r="A72" s="91">
        <v>3</v>
      </c>
      <c r="B72" s="405"/>
      <c r="C72" s="406"/>
      <c r="D72" s="407"/>
      <c r="E72" s="407"/>
    </row>
    <row r="73" spans="1:6" ht="16.5" customHeight="1" x14ac:dyDescent="0.2">
      <c r="A73" s="90">
        <v>4</v>
      </c>
      <c r="B73" s="405"/>
      <c r="C73" s="406"/>
      <c r="D73" s="407"/>
      <c r="E73" s="407"/>
    </row>
    <row r="74" spans="1:6" ht="16.5" customHeight="1" x14ac:dyDescent="0.2">
      <c r="A74" s="91">
        <v>5</v>
      </c>
      <c r="B74" s="405"/>
      <c r="C74" s="406"/>
      <c r="D74" s="407"/>
      <c r="E74" s="407"/>
    </row>
    <row r="75" spans="1:6" ht="16.5" customHeight="1" x14ac:dyDescent="0.2">
      <c r="C75" s="55" t="s">
        <v>1088</v>
      </c>
      <c r="D75" s="275">
        <f>SUM(D70:D74)</f>
        <v>0</v>
      </c>
      <c r="E75" s="275">
        <f>SUM(E70:E74)</f>
        <v>0</v>
      </c>
    </row>
    <row r="76" spans="1:6" ht="6.75" customHeight="1" x14ac:dyDescent="0.2"/>
    <row r="77" spans="1:6" x14ac:dyDescent="0.2">
      <c r="B77" s="1451" t="str">
        <f>'SUMMARY FORM'!N15&amp;" INSTRUCTIONS HIGHLIGHT:  VT OUT EXCEPTIONS"</f>
        <v>FY21 INSTRUCTIONS HIGHLIGHT:  VT OUT EXCEPTIONS</v>
      </c>
      <c r="C77" s="1452"/>
      <c r="D77" s="1452"/>
      <c r="E77" s="1453"/>
    </row>
    <row r="78" spans="1:6" x14ac:dyDescent="0.2">
      <c r="B78" s="1358" t="s">
        <v>862</v>
      </c>
      <c r="C78" s="1358"/>
      <c r="D78" s="1358"/>
      <c r="E78" s="1358"/>
    </row>
    <row r="79" spans="1:6" x14ac:dyDescent="0.2">
      <c r="B79" s="1358" t="s">
        <v>1241</v>
      </c>
      <c r="C79" s="1358"/>
      <c r="D79" s="1358"/>
      <c r="E79" s="1358"/>
      <c r="F79" s="1170"/>
    </row>
    <row r="80" spans="1:6" x14ac:dyDescent="0.2">
      <c r="B80" s="1358" t="s">
        <v>863</v>
      </c>
      <c r="C80" s="1358"/>
      <c r="D80" s="1358"/>
      <c r="E80" s="1358"/>
    </row>
    <row r="81" spans="2:5" x14ac:dyDescent="0.2">
      <c r="B81" s="1358" t="s">
        <v>865</v>
      </c>
      <c r="C81" s="1358"/>
      <c r="D81" s="1358"/>
      <c r="E81" s="1358"/>
    </row>
    <row r="82" spans="2:5" ht="23.25" customHeight="1" x14ac:dyDescent="0.2">
      <c r="B82" s="1454" t="s">
        <v>864</v>
      </c>
      <c r="C82" s="1454"/>
      <c r="D82" s="1454"/>
      <c r="E82" s="1454"/>
    </row>
    <row r="83" spans="2:5" hidden="1" x14ac:dyDescent="0.2">
      <c r="C83" s="747"/>
      <c r="D83" s="748"/>
    </row>
    <row r="84" spans="2:5" hidden="1" x14ac:dyDescent="0.2">
      <c r="C84" s="749" t="s">
        <v>1022</v>
      </c>
      <c r="D84" s="750" t="s">
        <v>632</v>
      </c>
    </row>
  </sheetData>
  <sheetProtection algorithmName="SHA-512" hashValue="22Wn60SVlb+jL/vk1BYjz/KbUIyWl05xm/pzib4BdEp+mLV0hKrBBNlYL7q3jfGoflQl/lrRV++n2lThjyB+cw==" saltValue="ahIwj8ABhB0pkC2yj19SFg==" spinCount="100000" sheet="1" objects="1" scenarios="1"/>
  <mergeCells count="13">
    <mergeCell ref="D3:E3"/>
    <mergeCell ref="B4:B5"/>
    <mergeCell ref="B77:E77"/>
    <mergeCell ref="B82:E82"/>
    <mergeCell ref="B78:E78"/>
    <mergeCell ref="B79:E79"/>
    <mergeCell ref="B80:E80"/>
    <mergeCell ref="B81:E81"/>
    <mergeCell ref="B60:E60"/>
    <mergeCell ref="B61:E61"/>
    <mergeCell ref="B62:E62"/>
    <mergeCell ref="B63:E63"/>
    <mergeCell ref="B64:E64"/>
  </mergeCells>
  <phoneticPr fontId="7" type="noConversion"/>
  <dataValidations count="1">
    <dataValidation type="list" allowBlank="1" showInputMessage="1" showErrorMessage="1" sqref="D58:E58">
      <formula1>$D$83:$D$84</formula1>
    </dataValidation>
  </dataValidations>
  <printOptions horizontalCentered="1"/>
  <pageMargins left="0.5" right="0.5" top="0.25" bottom="1" header="0.5" footer="0.5"/>
  <pageSetup scale="88"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B1:E29"/>
  <sheetViews>
    <sheetView zoomScaleNormal="100" workbookViewId="0">
      <pane xSplit="1" ySplit="1" topLeftCell="B2" activePane="bottomRight" state="frozen"/>
      <selection activeCell="N6" sqref="N6"/>
      <selection pane="topRight" activeCell="N6" sqref="N6"/>
      <selection pane="bottomLeft" activeCell="N6" sqref="N6"/>
      <selection pane="bottomRight" activeCell="B1" sqref="B1"/>
    </sheetView>
  </sheetViews>
  <sheetFormatPr defaultRowHeight="12.75" x14ac:dyDescent="0.2"/>
  <cols>
    <col min="1" max="1" width="1.85546875" customWidth="1"/>
    <col min="2" max="2" width="19.28515625" customWidth="1"/>
    <col min="3" max="3" width="20.5703125" customWidth="1"/>
    <col min="4" max="4" width="23.5703125" customWidth="1"/>
    <col min="5" max="5" width="32.28515625" customWidth="1"/>
  </cols>
  <sheetData>
    <row r="1" spans="2:5" x14ac:dyDescent="0.2">
      <c r="B1" s="473" t="str">
        <f>'SUMMARY FORM'!A2</f>
        <v>FY21 SELF-SUPPORTING BUDGET REQUEST</v>
      </c>
      <c r="E1" s="424" t="s">
        <v>683</v>
      </c>
    </row>
    <row r="2" spans="2:5" x14ac:dyDescent="0.2">
      <c r="B2" s="473"/>
      <c r="E2" s="424"/>
    </row>
    <row r="3" spans="2:5" x14ac:dyDescent="0.2">
      <c r="B3" s="277" t="s">
        <v>241</v>
      </c>
      <c r="C3" s="1471" t="str">
        <f>'SUMMARY FORM'!AF2</f>
        <v>0  0  0  NEW</v>
      </c>
      <c r="D3" s="1472"/>
    </row>
    <row r="4" spans="2:5" x14ac:dyDescent="0.2">
      <c r="B4" s="219"/>
    </row>
    <row r="5" spans="2:5" x14ac:dyDescent="0.2">
      <c r="B5" s="277" t="s">
        <v>240</v>
      </c>
      <c r="C5" s="1459">
        <f>'SUMMARY FORM'!J10</f>
        <v>0</v>
      </c>
      <c r="D5" s="1460"/>
    </row>
    <row r="6" spans="2:5" ht="13.5" thickBot="1" x14ac:dyDescent="0.25">
      <c r="B6" s="21"/>
      <c r="C6" s="21"/>
      <c r="D6" s="21"/>
      <c r="E6" s="21"/>
    </row>
    <row r="7" spans="2:5" x14ac:dyDescent="0.2">
      <c r="B7" s="13"/>
      <c r="C7" s="13"/>
      <c r="D7" s="13"/>
    </row>
    <row r="8" spans="2:5" ht="13.5" thickBot="1" x14ac:dyDescent="0.25">
      <c r="B8" s="167" t="s">
        <v>876</v>
      </c>
    </row>
    <row r="9" spans="2:5" s="706" customFormat="1" x14ac:dyDescent="0.2">
      <c r="B9" s="1461"/>
      <c r="C9" s="1462"/>
      <c r="D9" s="1462"/>
      <c r="E9" s="1463"/>
    </row>
    <row r="10" spans="2:5" s="706" customFormat="1" x14ac:dyDescent="0.2">
      <c r="B10" s="1464"/>
      <c r="C10" s="1465"/>
      <c r="D10" s="1465"/>
      <c r="E10" s="1466"/>
    </row>
    <row r="11" spans="2:5" s="706" customFormat="1" x14ac:dyDescent="0.2">
      <c r="B11" s="1464"/>
      <c r="C11" s="1465"/>
      <c r="D11" s="1465"/>
      <c r="E11" s="1466"/>
    </row>
    <row r="12" spans="2:5" s="706" customFormat="1" x14ac:dyDescent="0.2">
      <c r="B12" s="1464"/>
      <c r="C12" s="1465"/>
      <c r="D12" s="1465"/>
      <c r="E12" s="1466"/>
    </row>
    <row r="13" spans="2:5" s="706" customFormat="1" x14ac:dyDescent="0.2">
      <c r="B13" s="1464"/>
      <c r="C13" s="1465"/>
      <c r="D13" s="1465"/>
      <c r="E13" s="1466"/>
    </row>
    <row r="14" spans="2:5" s="706" customFormat="1" x14ac:dyDescent="0.2">
      <c r="B14" s="1464"/>
      <c r="C14" s="1465"/>
      <c r="D14" s="1465"/>
      <c r="E14" s="1466"/>
    </row>
    <row r="15" spans="2:5" s="706" customFormat="1" x14ac:dyDescent="0.2">
      <c r="B15" s="1464"/>
      <c r="C15" s="1465"/>
      <c r="D15" s="1465"/>
      <c r="E15" s="1466"/>
    </row>
    <row r="16" spans="2:5" s="706" customFormat="1" x14ac:dyDescent="0.2">
      <c r="B16" s="1464"/>
      <c r="C16" s="1465"/>
      <c r="D16" s="1465"/>
      <c r="E16" s="1466"/>
    </row>
    <row r="17" spans="2:5" s="706" customFormat="1" x14ac:dyDescent="0.2">
      <c r="B17" s="1464"/>
      <c r="C17" s="1465"/>
      <c r="D17" s="1465"/>
      <c r="E17" s="1466"/>
    </row>
    <row r="18" spans="2:5" s="706" customFormat="1" x14ac:dyDescent="0.2">
      <c r="B18" s="1464"/>
      <c r="C18" s="1465"/>
      <c r="D18" s="1465"/>
      <c r="E18" s="1466"/>
    </row>
    <row r="19" spans="2:5" s="706" customFormat="1" x14ac:dyDescent="0.2">
      <c r="B19" s="1464"/>
      <c r="C19" s="1465"/>
      <c r="D19" s="1465"/>
      <c r="E19" s="1466"/>
    </row>
    <row r="20" spans="2:5" s="706" customFormat="1" x14ac:dyDescent="0.2">
      <c r="B20" s="1464"/>
      <c r="C20" s="1465"/>
      <c r="D20" s="1465"/>
      <c r="E20" s="1466"/>
    </row>
    <row r="21" spans="2:5" s="706" customFormat="1" x14ac:dyDescent="0.2">
      <c r="B21" s="1464"/>
      <c r="C21" s="1465"/>
      <c r="D21" s="1465"/>
      <c r="E21" s="1466"/>
    </row>
    <row r="22" spans="2:5" s="706" customFormat="1" x14ac:dyDescent="0.2">
      <c r="B22" s="1464"/>
      <c r="C22" s="1465"/>
      <c r="D22" s="1465"/>
      <c r="E22" s="1466"/>
    </row>
    <row r="23" spans="2:5" s="706" customFormat="1" x14ac:dyDescent="0.2">
      <c r="B23" s="1464"/>
      <c r="C23" s="1465"/>
      <c r="D23" s="1465"/>
      <c r="E23" s="1466"/>
    </row>
    <row r="24" spans="2:5" s="706" customFormat="1" x14ac:dyDescent="0.2">
      <c r="B24" s="1464"/>
      <c r="C24" s="1465"/>
      <c r="D24" s="1465"/>
      <c r="E24" s="1466"/>
    </row>
    <row r="25" spans="2:5" s="706" customFormat="1" x14ac:dyDescent="0.2">
      <c r="B25" s="1464"/>
      <c r="C25" s="1465"/>
      <c r="D25" s="1465"/>
      <c r="E25" s="1466"/>
    </row>
    <row r="26" spans="2:5" s="706" customFormat="1" ht="13.5" thickBot="1" x14ac:dyDescent="0.25">
      <c r="B26" s="1467"/>
      <c r="C26" s="1468"/>
      <c r="D26" s="1468"/>
      <c r="E26" s="1469"/>
    </row>
    <row r="28" spans="2:5" ht="24.75" customHeight="1" x14ac:dyDescent="0.2">
      <c r="B28" s="1470" t="s">
        <v>877</v>
      </c>
      <c r="C28" s="1470"/>
      <c r="D28" s="1470"/>
      <c r="E28" s="1470"/>
    </row>
    <row r="29" spans="2:5" ht="27" customHeight="1" x14ac:dyDescent="0.2">
      <c r="B29" s="1470" t="s">
        <v>1178</v>
      </c>
      <c r="C29" s="1470"/>
      <c r="D29" s="1470"/>
      <c r="E29" s="1470"/>
    </row>
  </sheetData>
  <sheetProtection algorithmName="SHA-512" hashValue="azSg0vdJTmRIcUbT/bBmcFre92MaVymii/dZfaIk9JbE46ZmCMC02uNBdvduK4S2cgUsKN5ybbcm5Ue5UjfbKQ==" saltValue="h23aBbCbQmojszERfy/hMQ==" spinCount="100000" sheet="1" scenarios="1" formatCells="0" formatColumns="0" formatRows="0" insertColumns="0" insertRows="0"/>
  <mergeCells count="5">
    <mergeCell ref="C5:D5"/>
    <mergeCell ref="B9:E26"/>
    <mergeCell ref="B28:E28"/>
    <mergeCell ref="B29:E29"/>
    <mergeCell ref="C3:D3"/>
  </mergeCells>
  <phoneticPr fontId="7" type="noConversion"/>
  <printOptions horizontalCentered="1"/>
  <pageMargins left="0.5" right="0.5" top="0.75" bottom="1" header="0.5" footer="0.5"/>
  <pageSetup scale="99" orientation="portrait" r:id="rId1"/>
  <headerFooter alignWithMargins="0">
    <oddFooter>&amp;L&amp;Z&amp;F&amp;R&amp;A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Z30"/>
  <sheetViews>
    <sheetView zoomScale="86" zoomScaleNormal="86" workbookViewId="0">
      <pane ySplit="10" topLeftCell="A11" activePane="bottomLeft" state="frozen"/>
      <selection activeCell="N6" sqref="N6"/>
      <selection pane="bottomLeft"/>
    </sheetView>
  </sheetViews>
  <sheetFormatPr defaultColWidth="9.140625" defaultRowHeight="12.75" x14ac:dyDescent="0.2"/>
  <cols>
    <col min="1" max="1" width="5.140625" style="613" bestFit="1" customWidth="1"/>
    <col min="2" max="2" width="12" style="613" customWidth="1"/>
    <col min="3" max="3" width="8.5703125" style="613" bestFit="1" customWidth="1"/>
    <col min="4" max="4" width="15.28515625" style="613" customWidth="1"/>
    <col min="5" max="5" width="15" style="613" bestFit="1" customWidth="1"/>
    <col min="6" max="6" width="40.140625" style="613" customWidth="1"/>
    <col min="7" max="7" width="50.85546875" style="613" customWidth="1"/>
    <col min="8" max="8" width="18.42578125" style="613" customWidth="1"/>
    <col min="9" max="9" width="26.28515625" style="613" customWidth="1"/>
    <col min="10" max="10" width="25.85546875" style="613" customWidth="1"/>
    <col min="11" max="25" width="9.140625" style="613"/>
    <col min="26" max="26" width="0" style="613" hidden="1" customWidth="1"/>
    <col min="27" max="16384" width="9.140625" style="613"/>
  </cols>
  <sheetData>
    <row r="1" spans="1:26" s="614" customFormat="1" x14ac:dyDescent="0.2">
      <c r="B1" s="615" t="str">
        <f>'SUMMARY FORM'!A2</f>
        <v>FY21 SELF-SUPPORTING BUDGET REQUEST</v>
      </c>
      <c r="D1" s="616"/>
      <c r="E1" s="616"/>
      <c r="G1" s="617" t="s">
        <v>696</v>
      </c>
      <c r="I1" s="1479"/>
      <c r="J1" s="1479"/>
      <c r="Z1" s="797" t="s">
        <v>701</v>
      </c>
    </row>
    <row r="2" spans="1:26" s="614" customFormat="1" x14ac:dyDescent="0.2">
      <c r="I2" s="757"/>
      <c r="J2" s="758"/>
      <c r="Z2" s="798" t="s">
        <v>702</v>
      </c>
    </row>
    <row r="3" spans="1:26" s="614" customFormat="1" x14ac:dyDescent="0.2">
      <c r="B3" s="618" t="s">
        <v>641</v>
      </c>
      <c r="D3" s="1513" t="str">
        <f>'SUMMARY FORM'!AF2</f>
        <v>0  0  0  NEW</v>
      </c>
      <c r="E3" s="1514"/>
      <c r="F3" s="619" t="s">
        <v>697</v>
      </c>
      <c r="G3" s="1048">
        <f>'SUMMARY FORM'!J10</f>
        <v>0</v>
      </c>
      <c r="I3" s="757"/>
      <c r="J3" s="759"/>
      <c r="Z3" s="798" t="s">
        <v>703</v>
      </c>
    </row>
    <row r="4" spans="1:26" s="614" customFormat="1" ht="13.5" thickBot="1" x14ac:dyDescent="0.25">
      <c r="A4" s="620"/>
      <c r="B4" s="620"/>
      <c r="C4" s="620"/>
      <c r="D4" s="620"/>
      <c r="E4" s="620"/>
      <c r="F4" s="620"/>
      <c r="G4" s="620"/>
      <c r="H4" s="620"/>
      <c r="I4" s="620"/>
      <c r="J4" s="620"/>
      <c r="Z4" s="798" t="s">
        <v>704</v>
      </c>
    </row>
    <row r="5" spans="1:26" s="614" customFormat="1" x14ac:dyDescent="0.2">
      <c r="C5" s="621"/>
      <c r="D5" s="621"/>
      <c r="E5" s="621"/>
      <c r="F5" s="621"/>
      <c r="G5" s="621"/>
      <c r="Z5" s="798" t="s">
        <v>705</v>
      </c>
    </row>
    <row r="6" spans="1:26" s="614" customFormat="1" ht="14.25" x14ac:dyDescent="0.2">
      <c r="A6" s="1480" t="str">
        <f>'SUMMARY FORM'!A2</f>
        <v>FY21 SELF-SUPPORTING BUDGET REQUEST</v>
      </c>
      <c r="B6" s="1481"/>
      <c r="C6" s="1481"/>
      <c r="D6" s="1481"/>
      <c r="E6" s="1481"/>
      <c r="F6" s="1481"/>
      <c r="G6" s="1481"/>
      <c r="H6" s="1481"/>
      <c r="I6" s="1481"/>
      <c r="J6" s="1482"/>
      <c r="Z6" s="798" t="s">
        <v>706</v>
      </c>
    </row>
    <row r="7" spans="1:26" s="614" customFormat="1" ht="14.25" x14ac:dyDescent="0.2">
      <c r="A7" s="1483" t="s">
        <v>518</v>
      </c>
      <c r="B7" s="1484"/>
      <c r="C7" s="1484"/>
      <c r="D7" s="1484"/>
      <c r="E7" s="1484"/>
      <c r="F7" s="1484"/>
      <c r="G7" s="1484"/>
      <c r="H7" s="1484"/>
      <c r="I7" s="1484"/>
      <c r="J7" s="1485"/>
      <c r="Z7" s="798" t="s">
        <v>708</v>
      </c>
    </row>
    <row r="8" spans="1:26" s="614" customFormat="1" ht="18.75" customHeight="1" x14ac:dyDescent="0.25">
      <c r="A8" s="1486" t="s">
        <v>529</v>
      </c>
      <c r="B8" s="1473" t="s">
        <v>352</v>
      </c>
      <c r="C8" s="1473" t="s">
        <v>1017</v>
      </c>
      <c r="D8" s="1473" t="s">
        <v>551</v>
      </c>
      <c r="E8" s="1473" t="s">
        <v>1210</v>
      </c>
      <c r="F8" s="1489" t="str">
        <f>"Note / Explanation of "&amp;'SUMMARY FORM'!N15&amp;" Change: "</f>
        <v xml:space="preserve">Note / Explanation of FY21 Change: </v>
      </c>
      <c r="G8" s="1490"/>
      <c r="H8" s="1476" t="s">
        <v>1211</v>
      </c>
      <c r="I8" s="1491" t="s">
        <v>1085</v>
      </c>
      <c r="J8" s="1491" t="s">
        <v>838</v>
      </c>
      <c r="Z8" s="798" t="s">
        <v>707</v>
      </c>
    </row>
    <row r="9" spans="1:26" s="614" customFormat="1" ht="12.75" customHeight="1" x14ac:dyDescent="0.2">
      <c r="A9" s="1487"/>
      <c r="B9" s="1474"/>
      <c r="C9" s="1474"/>
      <c r="D9" s="1474"/>
      <c r="E9" s="1474"/>
      <c r="F9" s="1493" t="s">
        <v>886</v>
      </c>
      <c r="G9" s="1494"/>
      <c r="H9" s="1477"/>
      <c r="I9" s="1474"/>
      <c r="J9" s="1474"/>
      <c r="Z9" s="798" t="s">
        <v>698</v>
      </c>
    </row>
    <row r="10" spans="1:26" s="614" customFormat="1" ht="12.75" customHeight="1" x14ac:dyDescent="0.2">
      <c r="A10" s="1488"/>
      <c r="B10" s="1475"/>
      <c r="C10" s="1475"/>
      <c r="D10" s="1475"/>
      <c r="E10" s="1475"/>
      <c r="F10" s="1495" t="s">
        <v>1087</v>
      </c>
      <c r="G10" s="1496"/>
      <c r="H10" s="1478"/>
      <c r="I10" s="1492"/>
      <c r="J10" s="1492"/>
      <c r="Z10" s="798" t="s">
        <v>699</v>
      </c>
    </row>
    <row r="11" spans="1:26" ht="59.25" customHeight="1" x14ac:dyDescent="0.2">
      <c r="A11" s="1055" t="s">
        <v>519</v>
      </c>
      <c r="B11" s="769"/>
      <c r="C11" s="770"/>
      <c r="D11" s="771"/>
      <c r="E11" s="772"/>
      <c r="F11" s="1511"/>
      <c r="G11" s="1512"/>
      <c r="H11" s="768"/>
      <c r="I11" s="768"/>
      <c r="J11" s="768"/>
      <c r="Z11" s="1056" t="s">
        <v>700</v>
      </c>
    </row>
    <row r="12" spans="1:26" ht="59.25" customHeight="1" x14ac:dyDescent="0.2">
      <c r="A12" s="1055" t="s">
        <v>520</v>
      </c>
      <c r="B12" s="769"/>
      <c r="C12" s="770"/>
      <c r="D12" s="771"/>
      <c r="E12" s="772"/>
      <c r="F12" s="1511"/>
      <c r="G12" s="1512"/>
      <c r="H12" s="768"/>
      <c r="I12" s="768"/>
      <c r="J12" s="768"/>
    </row>
    <row r="13" spans="1:26" ht="59.25" customHeight="1" x14ac:dyDescent="0.2">
      <c r="A13" s="1055" t="s">
        <v>521</v>
      </c>
      <c r="B13" s="769"/>
      <c r="C13" s="770"/>
      <c r="D13" s="771"/>
      <c r="E13" s="772"/>
      <c r="F13" s="1511"/>
      <c r="G13" s="1512"/>
      <c r="H13" s="768"/>
      <c r="I13" s="768"/>
      <c r="J13" s="768"/>
    </row>
    <row r="14" spans="1:26" ht="59.25" customHeight="1" x14ac:dyDescent="0.2">
      <c r="A14" s="1055" t="s">
        <v>522</v>
      </c>
      <c r="B14" s="769"/>
      <c r="C14" s="770"/>
      <c r="D14" s="771"/>
      <c r="E14" s="772"/>
      <c r="F14" s="1511"/>
      <c r="G14" s="1512"/>
      <c r="H14" s="768"/>
      <c r="I14" s="768"/>
      <c r="J14" s="768"/>
    </row>
    <row r="15" spans="1:26" ht="59.25" customHeight="1" x14ac:dyDescent="0.2">
      <c r="A15" s="1055" t="s">
        <v>523</v>
      </c>
      <c r="B15" s="769"/>
      <c r="C15" s="770"/>
      <c r="D15" s="771"/>
      <c r="E15" s="772"/>
      <c r="F15" s="1511"/>
      <c r="G15" s="1512"/>
      <c r="H15" s="768"/>
      <c r="I15" s="768"/>
      <c r="J15" s="768"/>
    </row>
    <row r="16" spans="1:26" ht="59.25" customHeight="1" x14ac:dyDescent="0.2">
      <c r="A16" s="1055" t="s">
        <v>524</v>
      </c>
      <c r="B16" s="769"/>
      <c r="C16" s="770"/>
      <c r="D16" s="771"/>
      <c r="E16" s="772"/>
      <c r="F16" s="1511"/>
      <c r="G16" s="1512"/>
      <c r="H16" s="768"/>
      <c r="I16" s="768"/>
      <c r="J16" s="768"/>
    </row>
    <row r="17" spans="1:26" ht="59.25" customHeight="1" x14ac:dyDescent="0.2">
      <c r="A17" s="1055" t="s">
        <v>525</v>
      </c>
      <c r="B17" s="769"/>
      <c r="C17" s="770"/>
      <c r="D17" s="771"/>
      <c r="E17" s="772"/>
      <c r="F17" s="1511"/>
      <c r="G17" s="1512"/>
      <c r="H17" s="768"/>
      <c r="I17" s="768"/>
      <c r="J17" s="768"/>
    </row>
    <row r="18" spans="1:26" ht="59.25" customHeight="1" x14ac:dyDescent="0.2">
      <c r="A18" s="1055" t="s">
        <v>526</v>
      </c>
      <c r="B18" s="769"/>
      <c r="C18" s="770"/>
      <c r="D18" s="771"/>
      <c r="E18" s="772"/>
      <c r="F18" s="1511"/>
      <c r="G18" s="1512"/>
      <c r="H18" s="768"/>
      <c r="I18" s="768"/>
      <c r="J18" s="768"/>
    </row>
    <row r="19" spans="1:26" ht="59.25" customHeight="1" x14ac:dyDescent="0.2">
      <c r="A19" s="1055" t="s">
        <v>527</v>
      </c>
      <c r="B19" s="769"/>
      <c r="C19" s="770"/>
      <c r="D19" s="771"/>
      <c r="E19" s="772"/>
      <c r="F19" s="1511"/>
      <c r="G19" s="1512"/>
      <c r="H19" s="768"/>
      <c r="I19" s="768"/>
      <c r="J19" s="768"/>
    </row>
    <row r="20" spans="1:26" ht="59.25" customHeight="1" x14ac:dyDescent="0.2">
      <c r="A20" s="1055" t="s">
        <v>528</v>
      </c>
      <c r="B20" s="769"/>
      <c r="C20" s="770"/>
      <c r="D20" s="771"/>
      <c r="E20" s="772"/>
      <c r="F20" s="1511"/>
      <c r="G20" s="1512"/>
      <c r="H20" s="768"/>
      <c r="I20" s="768"/>
      <c r="J20" s="768"/>
    </row>
    <row r="21" spans="1:26" ht="59.25" customHeight="1" x14ac:dyDescent="0.2">
      <c r="A21" s="1055" t="s">
        <v>870</v>
      </c>
      <c r="B21" s="769"/>
      <c r="C21" s="770"/>
      <c r="D21" s="771"/>
      <c r="E21" s="772"/>
      <c r="F21" s="1511"/>
      <c r="G21" s="1512"/>
      <c r="H21" s="768"/>
      <c r="I21" s="768"/>
      <c r="J21" s="768"/>
    </row>
    <row r="22" spans="1:26" ht="59.25" customHeight="1" x14ac:dyDescent="0.2">
      <c r="A22" s="1055" t="s">
        <v>872</v>
      </c>
      <c r="B22" s="769"/>
      <c r="C22" s="770"/>
      <c r="D22" s="771"/>
      <c r="E22" s="772"/>
      <c r="F22" s="1511"/>
      <c r="G22" s="1512"/>
      <c r="H22" s="768"/>
      <c r="I22" s="768"/>
      <c r="J22" s="768"/>
    </row>
    <row r="23" spans="1:26" ht="59.25" customHeight="1" x14ac:dyDescent="0.2">
      <c r="A23" s="1055" t="s">
        <v>873</v>
      </c>
      <c r="B23" s="769"/>
      <c r="C23" s="770"/>
      <c r="D23" s="771"/>
      <c r="E23" s="772"/>
      <c r="F23" s="1511"/>
      <c r="G23" s="1512"/>
      <c r="H23" s="768"/>
      <c r="I23" s="768"/>
      <c r="J23" s="768"/>
    </row>
    <row r="24" spans="1:26" ht="59.25" customHeight="1" x14ac:dyDescent="0.2">
      <c r="A24" s="1055" t="s">
        <v>874</v>
      </c>
      <c r="B24" s="769"/>
      <c r="C24" s="770"/>
      <c r="D24" s="771"/>
      <c r="E24" s="772"/>
      <c r="F24" s="1511"/>
      <c r="G24" s="1512"/>
      <c r="H24" s="768"/>
      <c r="I24" s="768"/>
      <c r="J24" s="768"/>
    </row>
    <row r="25" spans="1:26" ht="59.25" customHeight="1" x14ac:dyDescent="0.2">
      <c r="A25" s="1055" t="s">
        <v>875</v>
      </c>
      <c r="B25" s="769"/>
      <c r="C25" s="770"/>
      <c r="D25" s="771"/>
      <c r="E25" s="772"/>
      <c r="F25" s="1511"/>
      <c r="G25" s="1512"/>
      <c r="H25" s="768"/>
      <c r="I25" s="768"/>
      <c r="J25" s="768"/>
    </row>
    <row r="26" spans="1:26" x14ac:dyDescent="0.2">
      <c r="A26" s="1515"/>
      <c r="B26" s="1515"/>
      <c r="C26" s="1515"/>
      <c r="D26" s="1515"/>
      <c r="E26" s="1515"/>
      <c r="F26" s="1515"/>
      <c r="G26" s="1515"/>
      <c r="H26" s="1515"/>
      <c r="I26" s="1515"/>
      <c r="J26" s="1515"/>
    </row>
    <row r="28" spans="1:26" s="614" customFormat="1" ht="14.25" x14ac:dyDescent="0.2">
      <c r="A28" s="1497" t="s">
        <v>912</v>
      </c>
      <c r="B28" s="1498"/>
      <c r="C28" s="1498"/>
      <c r="D28" s="1498"/>
      <c r="E28" s="1498"/>
      <c r="F28" s="1498"/>
      <c r="G28" s="1498"/>
      <c r="H28" s="1498"/>
      <c r="I28" s="1498"/>
      <c r="J28" s="1499"/>
      <c r="Z28" s="798" t="s">
        <v>706</v>
      </c>
    </row>
    <row r="29" spans="1:26" s="614" customFormat="1" ht="12.75" customHeight="1" x14ac:dyDescent="0.2">
      <c r="A29" s="799"/>
      <c r="B29" s="1500" t="s">
        <v>913</v>
      </c>
      <c r="C29" s="1501"/>
      <c r="D29" s="1501"/>
      <c r="E29" s="1502"/>
      <c r="F29" s="1503" t="s">
        <v>914</v>
      </c>
      <c r="G29" s="1504"/>
      <c r="H29" s="1504"/>
      <c r="I29" s="1504"/>
      <c r="J29" s="800" t="s">
        <v>915</v>
      </c>
      <c r="Z29" s="798" t="s">
        <v>699</v>
      </c>
    </row>
    <row r="30" spans="1:26" ht="40.5" customHeight="1" x14ac:dyDescent="0.2">
      <c r="A30" s="1057"/>
      <c r="B30" s="1505" t="s">
        <v>1084</v>
      </c>
      <c r="C30" s="1506"/>
      <c r="D30" s="1506"/>
      <c r="E30" s="1507"/>
      <c r="F30" s="1508"/>
      <c r="G30" s="1509"/>
      <c r="H30" s="1509"/>
      <c r="I30" s="1510"/>
      <c r="J30" s="692"/>
    </row>
  </sheetData>
  <sheetProtection algorithmName="SHA-512" hashValue="dQAKCoPpu8HbbAI/nktUbgCOUXnW5IGdBJsIdNwDujAoCkW/0YMVWTC6zfREUG187oAWwKrkgd8METwbRe775g==" saltValue="/6yBuqQfCmBhYmhWqC+j9g==" spinCount="100000" sheet="1" formatCells="0" formatColumns="0" formatRows="0" insertColumns="0" insertRows="0"/>
  <mergeCells count="36">
    <mergeCell ref="F25:G25"/>
    <mergeCell ref="A26:J26"/>
    <mergeCell ref="F17:G17"/>
    <mergeCell ref="F18:G18"/>
    <mergeCell ref="F19:G19"/>
    <mergeCell ref="F20:G20"/>
    <mergeCell ref="F22:G22"/>
    <mergeCell ref="F21:G21"/>
    <mergeCell ref="F11:G11"/>
    <mergeCell ref="D3:E3"/>
    <mergeCell ref="F23:G23"/>
    <mergeCell ref="F24:G24"/>
    <mergeCell ref="F12:G12"/>
    <mergeCell ref="F13:G13"/>
    <mergeCell ref="F14:G14"/>
    <mergeCell ref="F15:G15"/>
    <mergeCell ref="F16:G16"/>
    <mergeCell ref="E8:E10"/>
    <mergeCell ref="D8:D10"/>
    <mergeCell ref="A28:J28"/>
    <mergeCell ref="B29:E29"/>
    <mergeCell ref="F29:I29"/>
    <mergeCell ref="B30:E30"/>
    <mergeCell ref="F30:I30"/>
    <mergeCell ref="C8:C10"/>
    <mergeCell ref="B8:B10"/>
    <mergeCell ref="H8:H10"/>
    <mergeCell ref="I1:J1"/>
    <mergeCell ref="A6:J6"/>
    <mergeCell ref="A7:J7"/>
    <mergeCell ref="A8:A10"/>
    <mergeCell ref="F8:G8"/>
    <mergeCell ref="I8:I10"/>
    <mergeCell ref="J8:J10"/>
    <mergeCell ref="F9:G9"/>
    <mergeCell ref="F10:G10"/>
  </mergeCells>
  <dataValidations count="3">
    <dataValidation allowBlank="1" showInputMessage="1" showErrorMessage="1" error="Select from drop-down menu" prompt="Select from drop-down menu" sqref="H8"/>
    <dataValidation allowBlank="1" showInputMessage="1" showErrorMessage="1" promptTitle="Type of Change?" prompt="New: Category or Position_x000a_Eliminated: Category or Position_x000a_% Increase or Decrease" sqref="E8"/>
    <dataValidation type="list" allowBlank="1" showInputMessage="1" error="Select from drop-down menu (hit escape to delete input)" promptTitle="Change From FY19 Budget/Activity" sqref="E11:E25">
      <formula1>$Z$2:$Z$10</formula1>
    </dataValidation>
  </dataValidations>
  <printOptions horizontalCentered="1"/>
  <pageMargins left="0.5" right="0.5" top="0.75" bottom="0.75" header="0.5" footer="0.5"/>
  <pageSetup scale="59" fitToHeight="2"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AD19"/>
  <sheetViews>
    <sheetView zoomScaleNormal="100" workbookViewId="0">
      <pane ySplit="7" topLeftCell="A8" activePane="bottomLeft" state="frozen"/>
      <selection activeCell="A8" sqref="A8"/>
      <selection pane="bottomLeft" activeCell="G8" sqref="G8"/>
    </sheetView>
  </sheetViews>
  <sheetFormatPr defaultColWidth="9.140625" defaultRowHeight="12.75" x14ac:dyDescent="0.2"/>
  <cols>
    <col min="1" max="1" width="6.42578125" style="614" customWidth="1"/>
    <col min="2" max="5" width="11.85546875" style="614" customWidth="1"/>
    <col min="6" max="6" width="7.5703125" style="614" customWidth="1"/>
    <col min="7" max="7" width="26.7109375" style="614" customWidth="1"/>
    <col min="8" max="8" width="15.28515625" style="614" customWidth="1"/>
    <col min="9" max="9" width="23" style="614" customWidth="1"/>
    <col min="10" max="10" width="8" style="614" customWidth="1"/>
    <col min="11" max="11" width="14.5703125" style="614" customWidth="1"/>
    <col min="12" max="12" width="22.140625" style="614" bestFit="1" customWidth="1"/>
    <col min="13" max="13" width="15" style="614" customWidth="1"/>
    <col min="14" max="14" width="9.140625" style="613"/>
    <col min="15" max="28" width="9.140625" style="614"/>
    <col min="29" max="29" width="1.5703125" style="614" customWidth="1"/>
    <col min="30" max="30" width="42.28515625" style="614" hidden="1" customWidth="1"/>
    <col min="31" max="16384" width="9.140625" style="614"/>
  </cols>
  <sheetData>
    <row r="1" spans="1:30" x14ac:dyDescent="0.2">
      <c r="B1" s="615" t="str">
        <f>'SUMMARY FORM'!A2</f>
        <v>FY21 SELF-SUPPORTING BUDGET REQUEST</v>
      </c>
      <c r="C1" s="615"/>
      <c r="D1" s="615"/>
      <c r="E1" s="615"/>
      <c r="F1" s="616"/>
      <c r="G1" s="616"/>
      <c r="H1" s="616"/>
      <c r="I1" s="616"/>
      <c r="J1" s="616"/>
      <c r="L1" s="617" t="s">
        <v>868</v>
      </c>
      <c r="AC1" s="673"/>
      <c r="AD1" s="614" t="s">
        <v>836</v>
      </c>
    </row>
    <row r="2" spans="1:30" ht="5.25" customHeight="1" x14ac:dyDescent="0.2">
      <c r="L2" s="617"/>
      <c r="AC2" s="673"/>
    </row>
    <row r="3" spans="1:30" x14ac:dyDescent="0.2">
      <c r="B3" s="618" t="s">
        <v>641</v>
      </c>
      <c r="C3" s="618"/>
      <c r="D3" s="618"/>
      <c r="E3" s="618"/>
      <c r="F3" s="1521" t="str">
        <f>'SUMMARY FORM'!AF2</f>
        <v>0  0  0  NEW</v>
      </c>
      <c r="G3" s="1522"/>
      <c r="H3" s="1523"/>
      <c r="I3" s="674"/>
      <c r="J3" s="619" t="s">
        <v>697</v>
      </c>
      <c r="K3" s="1516">
        <f>'SUMMARY FORM'!J10</f>
        <v>0</v>
      </c>
      <c r="L3" s="1516"/>
      <c r="M3" s="613"/>
      <c r="AC3" s="673"/>
      <c r="AD3" s="614" t="s">
        <v>1216</v>
      </c>
    </row>
    <row r="4" spans="1:30" ht="5.25" customHeight="1" thickBot="1" x14ac:dyDescent="0.25">
      <c r="A4" s="620"/>
      <c r="B4" s="620"/>
      <c r="C4" s="620"/>
      <c r="D4" s="620"/>
      <c r="E4" s="620"/>
      <c r="F4" s="620"/>
      <c r="G4" s="620"/>
      <c r="H4" s="620"/>
      <c r="I4" s="620"/>
      <c r="J4" s="620"/>
      <c r="K4" s="620"/>
      <c r="L4" s="620"/>
      <c r="M4" s="621"/>
      <c r="AC4" s="673"/>
      <c r="AD4" s="614" t="s">
        <v>894</v>
      </c>
    </row>
    <row r="5" spans="1:30" ht="5.25" customHeight="1" x14ac:dyDescent="0.2">
      <c r="B5" s="621"/>
      <c r="C5" s="621"/>
      <c r="D5" s="621"/>
      <c r="E5" s="621"/>
      <c r="F5" s="621"/>
      <c r="G5" s="621"/>
      <c r="H5" s="621"/>
      <c r="I5" s="621"/>
      <c r="J5" s="621"/>
      <c r="K5" s="621"/>
      <c r="M5" s="621"/>
      <c r="AC5" s="673"/>
      <c r="AD5" s="1066" t="s">
        <v>895</v>
      </c>
    </row>
    <row r="6" spans="1:30" ht="12.75" customHeight="1" x14ac:dyDescent="0.2">
      <c r="A6" s="1517" t="s">
        <v>869</v>
      </c>
      <c r="B6" s="1518"/>
      <c r="C6" s="1518"/>
      <c r="D6" s="1518"/>
      <c r="E6" s="1518"/>
      <c r="F6" s="1518"/>
      <c r="G6" s="1518"/>
      <c r="H6" s="1518"/>
      <c r="I6" s="1518"/>
      <c r="J6" s="1518"/>
      <c r="K6" s="1518"/>
      <c r="L6" s="1518"/>
      <c r="M6" s="1518"/>
      <c r="AC6" s="673"/>
      <c r="AD6" s="614" t="s">
        <v>1217</v>
      </c>
    </row>
    <row r="7" spans="1:30" s="1066" customFormat="1" ht="40.5" customHeight="1" x14ac:dyDescent="0.2">
      <c r="A7" s="1058" t="s">
        <v>592</v>
      </c>
      <c r="B7" s="1059" t="s">
        <v>229</v>
      </c>
      <c r="C7" s="1059" t="s">
        <v>1214</v>
      </c>
      <c r="D7" s="1059" t="s">
        <v>1215</v>
      </c>
      <c r="E7" s="1059" t="s">
        <v>885</v>
      </c>
      <c r="F7" s="1059" t="s">
        <v>871</v>
      </c>
      <c r="G7" s="1060" t="s">
        <v>836</v>
      </c>
      <c r="H7" s="1060" t="s">
        <v>900</v>
      </c>
      <c r="I7" s="1061" t="s">
        <v>840</v>
      </c>
      <c r="J7" s="1061" t="s">
        <v>901</v>
      </c>
      <c r="K7" s="1062" t="s">
        <v>897</v>
      </c>
      <c r="L7" s="1063" t="s">
        <v>898</v>
      </c>
      <c r="M7" s="1064" t="s">
        <v>1070</v>
      </c>
      <c r="N7" s="1065"/>
      <c r="AC7" s="1067"/>
      <c r="AD7" s="614" t="s">
        <v>902</v>
      </c>
    </row>
    <row r="8" spans="1:30" ht="60" customHeight="1" x14ac:dyDescent="0.2">
      <c r="A8" s="687" t="s">
        <v>519</v>
      </c>
      <c r="B8" s="675"/>
      <c r="C8" s="688"/>
      <c r="D8" s="688"/>
      <c r="E8" s="689"/>
      <c r="F8" s="690"/>
      <c r="G8" s="688"/>
      <c r="H8" s="676"/>
      <c r="I8" s="676"/>
      <c r="J8" s="676"/>
      <c r="K8" s="691"/>
      <c r="L8" s="762"/>
      <c r="M8" s="761"/>
      <c r="AC8" s="673"/>
    </row>
    <row r="9" spans="1:30" ht="60" customHeight="1" x14ac:dyDescent="0.2">
      <c r="A9" s="687" t="s">
        <v>520</v>
      </c>
      <c r="B9" s="675"/>
      <c r="C9" s="688"/>
      <c r="D9" s="688"/>
      <c r="E9" s="689"/>
      <c r="F9" s="690"/>
      <c r="G9" s="688"/>
      <c r="H9" s="676"/>
      <c r="I9" s="676"/>
      <c r="J9" s="676"/>
      <c r="K9" s="691"/>
      <c r="L9" s="762"/>
      <c r="M9" s="761"/>
    </row>
    <row r="10" spans="1:30" ht="60" customHeight="1" x14ac:dyDescent="0.2">
      <c r="A10" s="687" t="s">
        <v>521</v>
      </c>
      <c r="B10" s="675"/>
      <c r="C10" s="688"/>
      <c r="D10" s="688"/>
      <c r="E10" s="689"/>
      <c r="F10" s="690"/>
      <c r="G10" s="688"/>
      <c r="H10" s="676"/>
      <c r="I10" s="676"/>
      <c r="J10" s="676"/>
      <c r="K10" s="691"/>
      <c r="L10" s="762"/>
      <c r="M10" s="761"/>
    </row>
    <row r="11" spans="1:30" ht="60" customHeight="1" x14ac:dyDescent="0.2">
      <c r="A11" s="687" t="s">
        <v>522</v>
      </c>
      <c r="B11" s="675"/>
      <c r="C11" s="688"/>
      <c r="D11" s="688"/>
      <c r="E11" s="689"/>
      <c r="F11" s="690"/>
      <c r="G11" s="688"/>
      <c r="H11" s="676"/>
      <c r="I11" s="676"/>
      <c r="J11" s="676"/>
      <c r="K11" s="691"/>
      <c r="L11" s="762"/>
      <c r="M11" s="761"/>
    </row>
    <row r="12" spans="1:30" ht="60" customHeight="1" x14ac:dyDescent="0.2">
      <c r="A12" s="687" t="s">
        <v>523</v>
      </c>
      <c r="B12" s="675"/>
      <c r="C12" s="688"/>
      <c r="D12" s="688"/>
      <c r="E12" s="689"/>
      <c r="F12" s="690"/>
      <c r="G12" s="688"/>
      <c r="H12" s="676"/>
      <c r="I12" s="676"/>
      <c r="J12" s="676"/>
      <c r="K12" s="691"/>
      <c r="L12" s="762"/>
      <c r="M12" s="761"/>
    </row>
    <row r="13" spans="1:30" ht="60" customHeight="1" x14ac:dyDescent="0.2">
      <c r="A13" s="687" t="s">
        <v>524</v>
      </c>
      <c r="B13" s="675"/>
      <c r="C13" s="688"/>
      <c r="D13" s="688"/>
      <c r="E13" s="689"/>
      <c r="F13" s="690"/>
      <c r="G13" s="688"/>
      <c r="H13" s="676"/>
      <c r="I13" s="676"/>
      <c r="J13" s="676"/>
      <c r="K13" s="691"/>
      <c r="L13" s="762"/>
      <c r="M13" s="761"/>
    </row>
    <row r="14" spans="1:30" ht="60" customHeight="1" x14ac:dyDescent="0.2">
      <c r="A14" s="687" t="s">
        <v>525</v>
      </c>
      <c r="B14" s="675"/>
      <c r="C14" s="688"/>
      <c r="D14" s="688"/>
      <c r="E14" s="689"/>
      <c r="F14" s="690"/>
      <c r="G14" s="688"/>
      <c r="H14" s="676"/>
      <c r="I14" s="676"/>
      <c r="J14" s="676"/>
      <c r="K14" s="691"/>
      <c r="L14" s="762"/>
      <c r="M14" s="761"/>
    </row>
    <row r="15" spans="1:30" ht="60" customHeight="1" x14ac:dyDescent="0.2">
      <c r="A15" s="687" t="s">
        <v>526</v>
      </c>
      <c r="B15" s="675"/>
      <c r="C15" s="688"/>
      <c r="D15" s="688"/>
      <c r="E15" s="689"/>
      <c r="F15" s="690"/>
      <c r="G15" s="688"/>
      <c r="H15" s="676"/>
      <c r="I15" s="676"/>
      <c r="J15" s="676"/>
      <c r="K15" s="691"/>
      <c r="L15" s="762"/>
      <c r="M15" s="761"/>
    </row>
    <row r="16" spans="1:30" ht="60" customHeight="1" x14ac:dyDescent="0.2">
      <c r="A16" s="687" t="s">
        <v>527</v>
      </c>
      <c r="B16" s="675"/>
      <c r="C16" s="688"/>
      <c r="D16" s="688"/>
      <c r="E16" s="689"/>
      <c r="F16" s="690"/>
      <c r="G16" s="688"/>
      <c r="H16" s="676"/>
      <c r="I16" s="676"/>
      <c r="J16" s="676"/>
      <c r="K16" s="691"/>
      <c r="L16" s="762"/>
      <c r="M16" s="761"/>
    </row>
    <row r="17" spans="1:13" ht="60" customHeight="1" x14ac:dyDescent="0.2">
      <c r="A17" s="687" t="s">
        <v>528</v>
      </c>
      <c r="B17" s="675"/>
      <c r="C17" s="688"/>
      <c r="D17" s="688"/>
      <c r="E17" s="689"/>
      <c r="F17" s="690"/>
      <c r="G17" s="688"/>
      <c r="H17" s="676"/>
      <c r="I17" s="676"/>
      <c r="J17" s="676"/>
      <c r="K17" s="691"/>
      <c r="L17" s="762"/>
      <c r="M17" s="761"/>
    </row>
    <row r="18" spans="1:13" x14ac:dyDescent="0.2">
      <c r="A18" s="1519"/>
      <c r="B18" s="1520"/>
      <c r="C18" s="1520"/>
      <c r="D18" s="1520"/>
      <c r="E18" s="1520"/>
      <c r="F18" s="1520"/>
      <c r="G18" s="1520"/>
      <c r="H18" s="1520"/>
      <c r="I18" s="1520"/>
      <c r="J18" s="1520"/>
      <c r="K18" s="1520"/>
      <c r="L18" s="1520"/>
      <c r="M18" s="1520"/>
    </row>
    <row r="19" spans="1:13" x14ac:dyDescent="0.2">
      <c r="A19" s="614" t="s">
        <v>901</v>
      </c>
      <c r="B19" s="614" t="s">
        <v>907</v>
      </c>
    </row>
  </sheetData>
  <sheetProtection algorithmName="SHA-512" hashValue="QVOV7/OsRYVJzcsZ7+lBYrIBHZWf6lCOSbBFrQm4CVX7/cYGyWvps8hpAGcwONcVIF9CAVisKs0BLJ3nuPKBpA==" saltValue="3OxxLyzS04dmV6jjnBmOIQ==" spinCount="100000" sheet="1" objects="1" scenarios="1"/>
  <mergeCells count="4">
    <mergeCell ref="K3:L3"/>
    <mergeCell ref="A6:M6"/>
    <mergeCell ref="A18:M18"/>
    <mergeCell ref="F3:H3"/>
  </mergeCells>
  <dataValidations count="2">
    <dataValidation allowBlank="1" showInputMessage="1" showErrorMessage="1" promptTitle="Type of Change?" prompt="New: Category or Position_x000a_Eliminated: Category or Position_x000a_% Increase or Decrease" sqref="G7"/>
    <dataValidation type="list" showInputMessage="1" error="Select from drop-down menu (hit escape to delete input)" promptTitle="BUDGET ACTION" sqref="G8:G17">
      <formula1>$AD$2:$AD$8</formula1>
    </dataValidation>
  </dataValidations>
  <printOptions horizontalCentered="1"/>
  <pageMargins left="0.5" right="0.5" top="0.75" bottom="0.75" header="0.5" footer="0.5"/>
  <pageSetup scale="76" fitToHeight="2"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sheetPr>
  <dimension ref="A1:AF145"/>
  <sheetViews>
    <sheetView zoomScale="85" zoomScaleNormal="85" workbookViewId="0">
      <selection activeCell="L12" sqref="L12"/>
    </sheetView>
  </sheetViews>
  <sheetFormatPr defaultRowHeight="12.75" x14ac:dyDescent="0.2"/>
  <cols>
    <col min="1" max="1" width="16.42578125" bestFit="1" customWidth="1"/>
    <col min="2" max="5" width="13.7109375" customWidth="1"/>
    <col min="6" max="6" width="13.7109375" style="9" customWidth="1"/>
    <col min="7" max="7" width="13.7109375" customWidth="1"/>
    <col min="8" max="8" width="18.5703125" customWidth="1"/>
    <col min="9" max="9" width="18.7109375" style="533" customWidth="1"/>
    <col min="10" max="10" width="13.7109375" customWidth="1"/>
    <col min="11" max="11" width="13.140625" customWidth="1"/>
    <col min="12" max="21" width="13.7109375" customWidth="1"/>
    <col min="22" max="22" width="26.28515625" bestFit="1" customWidth="1"/>
    <col min="23" max="27" width="13.7109375" customWidth="1"/>
    <col min="28" max="28" width="11.7109375" bestFit="1" customWidth="1"/>
    <col min="29" max="30" width="10.5703125" bestFit="1" customWidth="1"/>
    <col min="31" max="31" width="11.28515625" bestFit="1" customWidth="1"/>
    <col min="32" max="33" width="5.7109375" bestFit="1" customWidth="1"/>
    <col min="34" max="34" width="19" bestFit="1" customWidth="1"/>
    <col min="35" max="35" width="19.5703125" bestFit="1" customWidth="1"/>
  </cols>
  <sheetData>
    <row r="1" spans="1:23" x14ac:dyDescent="0.2">
      <c r="A1" t="s">
        <v>982</v>
      </c>
      <c r="B1" s="764"/>
      <c r="F1" s="737" t="s">
        <v>1019</v>
      </c>
      <c r="G1" s="738"/>
      <c r="H1" s="739" t="s">
        <v>1018</v>
      </c>
      <c r="I1" s="739" t="s">
        <v>1020</v>
      </c>
      <c r="J1" s="424" t="s">
        <v>3858</v>
      </c>
      <c r="N1" s="424" t="s">
        <v>3858</v>
      </c>
      <c r="O1" s="764"/>
      <c r="V1" s="473" t="s">
        <v>1181</v>
      </c>
      <c r="W1" s="473"/>
    </row>
    <row r="2" spans="1:23" x14ac:dyDescent="0.2">
      <c r="A2" t="s">
        <v>983</v>
      </c>
      <c r="B2" t="s">
        <v>984</v>
      </c>
      <c r="K2" s="1099" t="str">
        <f>IF(OR('SUMMARY FORM'!$D$12:$D$12="Yes",'SUMMARY FORM'!$N$6="NEW"),"Y","")</f>
        <v>Y</v>
      </c>
      <c r="L2" s="1099" t="str">
        <f>IF(OR('SUMMARY FORM'!$D$12:$D$12="Yes",'SUMMARY FORM'!$N$6="NEW"),"Y","")</f>
        <v>Y</v>
      </c>
      <c r="M2" s="1099" t="str">
        <f>IF(OR('SUMMARY FORM'!$D$12:$D$12="Yes",'SUMMARY FORM'!$N$6="NEW"),"Y","")</f>
        <v>Y</v>
      </c>
      <c r="N2" s="1099" t="str">
        <f>IF(OR('SUMMARY FORM'!$D$12:$D$12="Yes",'SUMMARY FORM'!$N$6="NEW"),"Y","")</f>
        <v>Y</v>
      </c>
      <c r="O2" s="1099" t="str">
        <f>IF(OR('SUMMARY FORM'!$D$12:$D$12="Yes",'SUMMARY FORM'!$N$6="NEW"),"Y","")</f>
        <v>Y</v>
      </c>
      <c r="P2" s="1099" t="str">
        <f>IF(OR('SUMMARY FORM'!$D$12:$D$12="Yes",'SUMMARY FORM'!$N$6="NEW"),"Y","")</f>
        <v>Y</v>
      </c>
      <c r="Q2" s="1099" t="str">
        <f>IF(OR('SUMMARY FORM'!$D$12:$D$12="Yes",'SUMMARY FORM'!$N$6="NEW"),"Y","")</f>
        <v>Y</v>
      </c>
      <c r="R2" s="1099" t="str">
        <f>IF(OR('SUMMARY FORM'!$D$12:$D$12="Yes",'SUMMARY FORM'!$N$6="NEW"),"Y","")</f>
        <v>Y</v>
      </c>
      <c r="V2" s="473" t="s">
        <v>1179</v>
      </c>
      <c r="W2" s="473" t="str">
        <f>IF('SUMMARY FORM'!N59&lt;0,"NO","YES")</f>
        <v>YES</v>
      </c>
    </row>
    <row r="3" spans="1:23" x14ac:dyDescent="0.2">
      <c r="A3" t="s">
        <v>985</v>
      </c>
      <c r="B3" t="s">
        <v>986</v>
      </c>
      <c r="C3" t="s">
        <v>986</v>
      </c>
      <c r="D3" t="s">
        <v>986</v>
      </c>
      <c r="E3" s="167" t="s">
        <v>987</v>
      </c>
      <c r="F3" s="316" t="s">
        <v>987</v>
      </c>
      <c r="G3" s="167" t="s">
        <v>986</v>
      </c>
      <c r="H3" s="167" t="s">
        <v>987</v>
      </c>
      <c r="I3" s="167" t="s">
        <v>987</v>
      </c>
      <c r="J3" s="167" t="s">
        <v>987</v>
      </c>
      <c r="K3" t="s">
        <v>987</v>
      </c>
      <c r="L3" t="s">
        <v>987</v>
      </c>
      <c r="M3" t="s">
        <v>987</v>
      </c>
      <c r="N3" t="s">
        <v>987</v>
      </c>
      <c r="O3" t="s">
        <v>987</v>
      </c>
      <c r="P3" t="s">
        <v>987</v>
      </c>
      <c r="Q3" t="s">
        <v>987</v>
      </c>
      <c r="R3" t="s">
        <v>987</v>
      </c>
      <c r="S3" t="s">
        <v>987</v>
      </c>
      <c r="V3" s="473" t="s">
        <v>1180</v>
      </c>
      <c r="W3" s="473" t="str">
        <f>IF('SUMMARY FORM'!N27='SUMMARY FORM'!N61,"YES","NO")</f>
        <v>YES</v>
      </c>
    </row>
    <row r="4" spans="1:23" x14ac:dyDescent="0.2">
      <c r="A4" t="s">
        <v>988</v>
      </c>
      <c r="B4" t="s">
        <v>989</v>
      </c>
      <c r="C4" t="s">
        <v>989</v>
      </c>
      <c r="D4" t="s">
        <v>990</v>
      </c>
      <c r="E4" s="167" t="s">
        <v>15</v>
      </c>
      <c r="F4" s="316" t="s">
        <v>991</v>
      </c>
      <c r="G4" s="167" t="s">
        <v>992</v>
      </c>
      <c r="H4" s="167" t="s">
        <v>993</v>
      </c>
      <c r="I4" s="167" t="s">
        <v>993</v>
      </c>
      <c r="J4" s="167" t="s">
        <v>989</v>
      </c>
      <c r="K4" t="s">
        <v>994</v>
      </c>
      <c r="L4" t="s">
        <v>995</v>
      </c>
      <c r="M4" t="s">
        <v>974</v>
      </c>
      <c r="N4" t="s">
        <v>994</v>
      </c>
      <c r="O4" t="s">
        <v>975</v>
      </c>
      <c r="P4" t="s">
        <v>976</v>
      </c>
      <c r="Q4" t="s">
        <v>996</v>
      </c>
      <c r="R4" t="s">
        <v>977</v>
      </c>
      <c r="S4" t="s">
        <v>994</v>
      </c>
      <c r="V4" s="473" t="s">
        <v>1182</v>
      </c>
      <c r="W4" s="473" t="str">
        <f>IF(SUM(H6:I28)=ROUND(SUM(H6:I28),0),"YES","NO")</f>
        <v>YES</v>
      </c>
    </row>
    <row r="5" spans="1:23" x14ac:dyDescent="0.2">
      <c r="A5" t="s">
        <v>997</v>
      </c>
      <c r="B5" t="s">
        <v>998</v>
      </c>
      <c r="C5" t="s">
        <v>999</v>
      </c>
      <c r="D5" t="s">
        <v>1000</v>
      </c>
      <c r="E5" s="167" t="s">
        <v>1001</v>
      </c>
      <c r="F5" s="316" t="s">
        <v>1002</v>
      </c>
      <c r="G5" s="167" t="s">
        <v>978</v>
      </c>
      <c r="H5" s="167" t="s">
        <v>979</v>
      </c>
      <c r="I5" s="167" t="s">
        <v>980</v>
      </c>
      <c r="J5" s="167" t="s">
        <v>981</v>
      </c>
      <c r="K5" t="s">
        <v>966</v>
      </c>
      <c r="L5" t="s">
        <v>967</v>
      </c>
      <c r="M5" t="s">
        <v>273</v>
      </c>
      <c r="N5" t="s">
        <v>968</v>
      </c>
      <c r="O5" t="s">
        <v>969</v>
      </c>
      <c r="P5" t="s">
        <v>970</v>
      </c>
      <c r="Q5" t="s">
        <v>971</v>
      </c>
      <c r="R5" t="s">
        <v>972</v>
      </c>
      <c r="S5" t="s">
        <v>973</v>
      </c>
    </row>
    <row r="6" spans="1:23" s="533" customFormat="1" x14ac:dyDescent="0.2">
      <c r="B6" s="763" t="s">
        <v>3243</v>
      </c>
      <c r="C6" s="167">
        <v>1</v>
      </c>
      <c r="D6" s="167" t="s">
        <v>1003</v>
      </c>
      <c r="E6" s="167">
        <v>2021</v>
      </c>
      <c r="F6" s="316">
        <v>4000</v>
      </c>
      <c r="G6" s="167" t="s">
        <v>1004</v>
      </c>
      <c r="H6" s="735"/>
      <c r="I6" s="735">
        <f>ROUND('FORM R1'!G11,0)</f>
        <v>0</v>
      </c>
      <c r="J6" s="167"/>
      <c r="K6" s="763">
        <f>IF($K$2="Y",'SUMMARY FORM'!$Q$6,'SUMMARY FORM'!$D$8:$D$8)</f>
        <v>0</v>
      </c>
      <c r="L6" s="763">
        <f>IF($L$2="Y",'SUMMARY FORM'!$Q$8,'SUMMARY FORM'!$L$6)</f>
        <v>0</v>
      </c>
      <c r="M6" s="763">
        <f>IF($L$2="Y",'SUMMARY FORM'!$Q$10,'SUMMARY FORM'!$J$6)</f>
        <v>0</v>
      </c>
      <c r="N6" s="763">
        <f>IF($L$2="Y",'SUMMARY FORM'!$Q$12,LEFT('SUMMARY FORM'!$J$4:$J$4,4))</f>
        <v>0</v>
      </c>
      <c r="O6" t="str">
        <f>IF(LEFT(IF($O$2="Y",'SUMMARY FORM'!$Q$4,'SUMMARY FORM'!$N$6),2)="PG",IF($O$2="Y",'SUMMARY FORM'!$Q$4,'SUMMARY FORM'!$N$6),"")</f>
        <v/>
      </c>
      <c r="P6" t="str">
        <f>IF(LEFT(IF($O$2="Y",'SUMMARY FORM'!$Q$4,'SUMMARY FORM'!$N$6),2)="PJ",IF($O$2="Y",'SUMMARY FORM'!$Q$4,'SUMMARY FORM'!$N$6),"")</f>
        <v/>
      </c>
      <c r="Q6" t="str">
        <f>IF(LEFT(IF($O$2="Y",'SUMMARY FORM'!$Q$4,'SUMMARY FORM'!$N$6),2)="GF",IF($O$2="Y",'SUMMARY FORM'!$Q$4,'SUMMARY FORM'!$N$6),"")</f>
        <v/>
      </c>
      <c r="R6" t="str">
        <f>IF(LEFT(IF($O$2="Y",'SUMMARY FORM'!$Q$4,'SUMMARY FORM'!$N$6),2)="GR",IF($O$2="Y",'SUMMARY FORM'!$Q$4,'SUMMARY FORM'!$N$6),"")</f>
        <v/>
      </c>
      <c r="V6" t="s">
        <v>1269</v>
      </c>
      <c r="W6"/>
    </row>
    <row r="7" spans="1:23" x14ac:dyDescent="0.2">
      <c r="B7" s="763" t="s">
        <v>3243</v>
      </c>
      <c r="C7">
        <v>2</v>
      </c>
      <c r="D7" s="167" t="s">
        <v>1003</v>
      </c>
      <c r="E7" s="167">
        <v>2021</v>
      </c>
      <c r="F7" s="316">
        <v>4300</v>
      </c>
      <c r="G7" s="167" t="s">
        <v>1004</v>
      </c>
      <c r="H7" s="736"/>
      <c r="I7" s="736">
        <f>ROUND('FORM R1'!G12,0)</f>
        <v>0</v>
      </c>
      <c r="J7" s="167"/>
      <c r="K7" s="763">
        <f>IF($K$2="Y",'SUMMARY FORM'!$Q$6,'SUMMARY FORM'!$D$8:$D$8)</f>
        <v>0</v>
      </c>
      <c r="L7" s="763">
        <f>IF($L$2="Y",'SUMMARY FORM'!$Q$8,'SUMMARY FORM'!$L$6)</f>
        <v>0</v>
      </c>
      <c r="M7" s="763">
        <f>IF($L$2="Y",'SUMMARY FORM'!$Q$10,'SUMMARY FORM'!$J$6)</f>
        <v>0</v>
      </c>
      <c r="N7" s="763">
        <f>IF($L$2="Y",'SUMMARY FORM'!$Q$12,LEFT('SUMMARY FORM'!$J$4:$J$4,4))</f>
        <v>0</v>
      </c>
      <c r="O7" t="str">
        <f>IF(LEFT(IF($O$2="Y",'SUMMARY FORM'!$Q$4,'SUMMARY FORM'!$N$6),2)="PG",IF($O$2="Y",'SUMMARY FORM'!$Q$4,'SUMMARY FORM'!$N$6),"")</f>
        <v/>
      </c>
      <c r="P7" t="str">
        <f>IF(LEFT(IF($O$2="Y",'SUMMARY FORM'!$Q$4,'SUMMARY FORM'!$N$6),2)="PJ",IF($O$2="Y",'SUMMARY FORM'!$Q$4,'SUMMARY FORM'!$N$6),"")</f>
        <v/>
      </c>
      <c r="Q7" t="str">
        <f>IF(LEFT(IF($O$2="Y",'SUMMARY FORM'!$Q$4,'SUMMARY FORM'!$N$6),2)="GF",IF($O$2="Y",'SUMMARY FORM'!$Q$4,'SUMMARY FORM'!$N$6),"")</f>
        <v/>
      </c>
      <c r="R7" t="str">
        <f>IF(LEFT(IF($O$2="Y",'SUMMARY FORM'!$Q$4,'SUMMARY FORM'!$N$6),2)="GR",IF($O$2="Y",'SUMMARY FORM'!$Q$4,'SUMMARY FORM'!$N$6),"")</f>
        <v/>
      </c>
      <c r="V7" t="s">
        <v>1270</v>
      </c>
    </row>
    <row r="8" spans="1:23" x14ac:dyDescent="0.2">
      <c r="B8" s="763" t="s">
        <v>3243</v>
      </c>
      <c r="C8">
        <v>3</v>
      </c>
      <c r="D8" s="167" t="s">
        <v>1003</v>
      </c>
      <c r="E8" s="167">
        <v>2021</v>
      </c>
      <c r="F8" s="316">
        <v>4400</v>
      </c>
      <c r="G8" s="167" t="s">
        <v>1004</v>
      </c>
      <c r="H8" s="736"/>
      <c r="I8" s="736">
        <f>ROUND('FORM R1'!G13,0)</f>
        <v>0</v>
      </c>
      <c r="J8" s="167"/>
      <c r="K8" s="763">
        <f>IF($K$2="Y",'SUMMARY FORM'!$Q$6,'SUMMARY FORM'!$D$8:$D$8)</f>
        <v>0</v>
      </c>
      <c r="L8" s="763">
        <f>IF($L$2="Y",'SUMMARY FORM'!$Q$8,'SUMMARY FORM'!$L$6)</f>
        <v>0</v>
      </c>
      <c r="M8" s="763">
        <f>IF($L$2="Y",'SUMMARY FORM'!$Q$10,'SUMMARY FORM'!$J$6)</f>
        <v>0</v>
      </c>
      <c r="N8" s="763">
        <f>IF($L$2="Y",'SUMMARY FORM'!$Q$12,LEFT('SUMMARY FORM'!$J$4:$J$4,4))</f>
        <v>0</v>
      </c>
      <c r="O8" t="str">
        <f>IF(LEFT(IF($O$2="Y",'SUMMARY FORM'!$Q$4,'SUMMARY FORM'!$N$6),2)="PG",IF($O$2="Y",'SUMMARY FORM'!$Q$4,'SUMMARY FORM'!$N$6),"")</f>
        <v/>
      </c>
      <c r="P8" t="str">
        <f>IF(LEFT(IF($O$2="Y",'SUMMARY FORM'!$Q$4,'SUMMARY FORM'!$N$6),2)="PJ",IF($O$2="Y",'SUMMARY FORM'!$Q$4,'SUMMARY FORM'!$N$6),"")</f>
        <v/>
      </c>
      <c r="Q8" t="str">
        <f>IF(LEFT(IF($O$2="Y",'SUMMARY FORM'!$Q$4,'SUMMARY FORM'!$N$6),2)="GF",IF($O$2="Y",'SUMMARY FORM'!$Q$4,'SUMMARY FORM'!$N$6),"")</f>
        <v/>
      </c>
      <c r="R8" t="str">
        <f>IF(LEFT(IF($O$2="Y",'SUMMARY FORM'!$Q$4,'SUMMARY FORM'!$N$6),2)="GR",IF($O$2="Y",'SUMMARY FORM'!$Q$4,'SUMMARY FORM'!$N$6),"")</f>
        <v/>
      </c>
      <c r="V8" t="s">
        <v>923</v>
      </c>
    </row>
    <row r="9" spans="1:23" x14ac:dyDescent="0.2">
      <c r="B9" s="763" t="s">
        <v>3243</v>
      </c>
      <c r="C9" s="167">
        <v>4</v>
      </c>
      <c r="D9" s="167" t="s">
        <v>1003</v>
      </c>
      <c r="E9" s="167">
        <v>2021</v>
      </c>
      <c r="F9" s="316">
        <v>4500</v>
      </c>
      <c r="G9" s="167" t="s">
        <v>1004</v>
      </c>
      <c r="H9" s="736"/>
      <c r="I9" s="736">
        <f>ROUND('FORM R1'!G14,0)</f>
        <v>0</v>
      </c>
      <c r="J9" s="167"/>
      <c r="K9" s="763">
        <f>IF($K$2="Y",'SUMMARY FORM'!$Q$6,'SUMMARY FORM'!$D$8:$D$8)</f>
        <v>0</v>
      </c>
      <c r="L9" s="763">
        <f>IF($L$2="Y",'SUMMARY FORM'!$Q$8,'SUMMARY FORM'!$L$6)</f>
        <v>0</v>
      </c>
      <c r="M9" s="763">
        <f>IF($L$2="Y",'SUMMARY FORM'!$Q$10,'SUMMARY FORM'!$J$6)</f>
        <v>0</v>
      </c>
      <c r="N9" s="763">
        <f>IF($L$2="Y",'SUMMARY FORM'!$Q$12,LEFT('SUMMARY FORM'!$J$4:$J$4,4))</f>
        <v>0</v>
      </c>
      <c r="O9" t="str">
        <f>IF(LEFT(IF($O$2="Y",'SUMMARY FORM'!$Q$4,'SUMMARY FORM'!$N$6),2)="PG",IF($O$2="Y",'SUMMARY FORM'!$Q$4,'SUMMARY FORM'!$N$6),"")</f>
        <v/>
      </c>
      <c r="P9" t="str">
        <f>IF(LEFT(IF($O$2="Y",'SUMMARY FORM'!$Q$4,'SUMMARY FORM'!$N$6),2)="PJ",IF($O$2="Y",'SUMMARY FORM'!$Q$4,'SUMMARY FORM'!$N$6),"")</f>
        <v/>
      </c>
      <c r="Q9" t="str">
        <f>IF(LEFT(IF($O$2="Y",'SUMMARY FORM'!$Q$4,'SUMMARY FORM'!$N$6),2)="GF",IF($O$2="Y",'SUMMARY FORM'!$Q$4,'SUMMARY FORM'!$N$6),"")</f>
        <v/>
      </c>
      <c r="R9" t="str">
        <f>IF(LEFT(IF($O$2="Y",'SUMMARY FORM'!$Q$4,'SUMMARY FORM'!$N$6),2)="GR",IF($O$2="Y",'SUMMARY FORM'!$Q$4,'SUMMARY FORM'!$N$6),"")</f>
        <v/>
      </c>
      <c r="V9" t="s">
        <v>1271</v>
      </c>
    </row>
    <row r="10" spans="1:23" x14ac:dyDescent="0.2">
      <c r="B10" s="763" t="s">
        <v>3243</v>
      </c>
      <c r="C10">
        <v>5</v>
      </c>
      <c r="D10" s="167" t="s">
        <v>1003</v>
      </c>
      <c r="E10" s="167">
        <v>2021</v>
      </c>
      <c r="F10" s="316">
        <v>4600</v>
      </c>
      <c r="G10" s="167" t="s">
        <v>1004</v>
      </c>
      <c r="H10" s="736"/>
      <c r="I10" s="736">
        <f>ROUND('FORM R1'!G17,0)</f>
        <v>0</v>
      </c>
      <c r="J10" s="167"/>
      <c r="K10" s="763">
        <f>IF($K$2="Y",'SUMMARY FORM'!$Q$6,'SUMMARY FORM'!$D$8:$D$8)</f>
        <v>0</v>
      </c>
      <c r="L10" s="763">
        <f>IF($L$2="Y",'SUMMARY FORM'!$Q$8,'SUMMARY FORM'!$L$6)</f>
        <v>0</v>
      </c>
      <c r="M10" s="763">
        <f>IF($L$2="Y",'SUMMARY FORM'!$Q$10,'SUMMARY FORM'!$J$6)</f>
        <v>0</v>
      </c>
      <c r="N10" s="763">
        <f>IF($L$2="Y",'SUMMARY FORM'!$Q$12,LEFT('SUMMARY FORM'!$J$4:$J$4,4))</f>
        <v>0</v>
      </c>
      <c r="O10" t="str">
        <f>IF(LEFT(IF($O$2="Y",'SUMMARY FORM'!$Q$4,'SUMMARY FORM'!$N$6),2)="PG",IF($O$2="Y",'SUMMARY FORM'!$Q$4,'SUMMARY FORM'!$N$6),"")</f>
        <v/>
      </c>
      <c r="P10" t="str">
        <f>IF(LEFT(IF($O$2="Y",'SUMMARY FORM'!$Q$4,'SUMMARY FORM'!$N$6),2)="PJ",IF($O$2="Y",'SUMMARY FORM'!$Q$4,'SUMMARY FORM'!$N$6),"")</f>
        <v/>
      </c>
      <c r="Q10" t="str">
        <f>IF(LEFT(IF($O$2="Y",'SUMMARY FORM'!$Q$4,'SUMMARY FORM'!$N$6),2)="GF",IF($O$2="Y",'SUMMARY FORM'!$Q$4,'SUMMARY FORM'!$N$6),"")</f>
        <v/>
      </c>
      <c r="R10" t="str">
        <f>IF(LEFT(IF($O$2="Y",'SUMMARY FORM'!$Q$4,'SUMMARY FORM'!$N$6),2)="GR",IF($O$2="Y",'SUMMARY FORM'!$Q$4,'SUMMARY FORM'!$N$6),"")</f>
        <v/>
      </c>
      <c r="V10" t="s">
        <v>1272</v>
      </c>
    </row>
    <row r="11" spans="1:23" x14ac:dyDescent="0.2">
      <c r="B11" s="763" t="s">
        <v>3243</v>
      </c>
      <c r="C11">
        <v>6</v>
      </c>
      <c r="D11" s="167" t="s">
        <v>1003</v>
      </c>
      <c r="E11" s="167">
        <v>2021</v>
      </c>
      <c r="F11" s="316">
        <v>4800</v>
      </c>
      <c r="G11" s="167" t="s">
        <v>1004</v>
      </c>
      <c r="H11" s="736"/>
      <c r="I11" s="736">
        <f>ROUND('FORM R1'!G16,0)</f>
        <v>0</v>
      </c>
      <c r="J11" s="167"/>
      <c r="K11" s="763">
        <f>IF($K$2="Y",'SUMMARY FORM'!$Q$6,'SUMMARY FORM'!$D$8:$D$8)</f>
        <v>0</v>
      </c>
      <c r="L11" s="763">
        <f>IF($L$2="Y",'SUMMARY FORM'!$Q$8,'SUMMARY FORM'!$L$6)</f>
        <v>0</v>
      </c>
      <c r="M11" s="763">
        <f>IF($L$2="Y",'SUMMARY FORM'!$Q$10,'SUMMARY FORM'!$J$6)</f>
        <v>0</v>
      </c>
      <c r="N11" s="763">
        <f>IF($L$2="Y",'SUMMARY FORM'!$Q$12,LEFT('SUMMARY FORM'!$J$4:$J$4,4))</f>
        <v>0</v>
      </c>
      <c r="O11" t="str">
        <f>IF(LEFT(IF($O$2="Y",'SUMMARY FORM'!$Q$4,'SUMMARY FORM'!$N$6),2)="PG",IF($O$2="Y",'SUMMARY FORM'!$Q$4,'SUMMARY FORM'!$N$6),"")</f>
        <v/>
      </c>
      <c r="P11" t="str">
        <f>IF(LEFT(IF($O$2="Y",'SUMMARY FORM'!$Q$4,'SUMMARY FORM'!$N$6),2)="PJ",IF($O$2="Y",'SUMMARY FORM'!$Q$4,'SUMMARY FORM'!$N$6),"")</f>
        <v/>
      </c>
      <c r="Q11" t="str">
        <f>IF(LEFT(IF($O$2="Y",'SUMMARY FORM'!$Q$4,'SUMMARY FORM'!$N$6),2)="GF",IF($O$2="Y",'SUMMARY FORM'!$Q$4,'SUMMARY FORM'!$N$6),"")</f>
        <v/>
      </c>
      <c r="R11" t="str">
        <f>IF(LEFT(IF($O$2="Y",'SUMMARY FORM'!$Q$4,'SUMMARY FORM'!$N$6),2)="GR",IF($O$2="Y",'SUMMARY FORM'!$Q$4,'SUMMARY FORM'!$N$6),"")</f>
        <v/>
      </c>
      <c r="V11" t="s">
        <v>926</v>
      </c>
    </row>
    <row r="12" spans="1:23" x14ac:dyDescent="0.2">
      <c r="B12" s="763" t="s">
        <v>3243</v>
      </c>
      <c r="C12" s="167">
        <v>7</v>
      </c>
      <c r="D12" s="167" t="s">
        <v>1003</v>
      </c>
      <c r="E12" s="167">
        <v>2021</v>
      </c>
      <c r="F12" s="316">
        <v>4708</v>
      </c>
      <c r="G12" s="167" t="s">
        <v>1004</v>
      </c>
      <c r="H12" s="736"/>
      <c r="I12" s="736">
        <f>ROUND('FORM R1'!G15,0)</f>
        <v>0</v>
      </c>
      <c r="J12" s="167"/>
      <c r="K12" s="763">
        <f>IF($K$2="Y",'SUMMARY FORM'!$Q$6,'SUMMARY FORM'!$D$8:$D$8)</f>
        <v>0</v>
      </c>
      <c r="L12" s="763">
        <f>IF($L$2="Y",'SUMMARY FORM'!$Q$8,'SUMMARY FORM'!$L$6)</f>
        <v>0</v>
      </c>
      <c r="M12" s="763">
        <f>IF($L$2="Y",'SUMMARY FORM'!$Q$10,'SUMMARY FORM'!$J$6)</f>
        <v>0</v>
      </c>
      <c r="N12" s="763">
        <f>IF($L$2="Y",'SUMMARY FORM'!$Q$12,LEFT('SUMMARY FORM'!$J$4:$J$4,4))</f>
        <v>0</v>
      </c>
      <c r="O12" t="str">
        <f>IF(LEFT(IF($O$2="Y",'SUMMARY FORM'!$Q$4,'SUMMARY FORM'!$N$6),2)="PG",IF($O$2="Y",'SUMMARY FORM'!$Q$4,'SUMMARY FORM'!$N$6),"")</f>
        <v/>
      </c>
      <c r="P12" t="str">
        <f>IF(LEFT(IF($O$2="Y",'SUMMARY FORM'!$Q$4,'SUMMARY FORM'!$N$6),2)="PJ",IF($O$2="Y",'SUMMARY FORM'!$Q$4,'SUMMARY FORM'!$N$6),"")</f>
        <v/>
      </c>
      <c r="Q12" t="str">
        <f>IF(LEFT(IF($O$2="Y",'SUMMARY FORM'!$Q$4,'SUMMARY FORM'!$N$6),2)="GF",IF($O$2="Y",'SUMMARY FORM'!$Q$4,'SUMMARY FORM'!$N$6),"")</f>
        <v/>
      </c>
      <c r="R12" t="str">
        <f>IF(LEFT(IF($O$2="Y",'SUMMARY FORM'!$Q$4,'SUMMARY FORM'!$N$6),2)="GR",IF($O$2="Y",'SUMMARY FORM'!$Q$4,'SUMMARY FORM'!$N$6),"")</f>
        <v/>
      </c>
      <c r="V12" t="s">
        <v>1273</v>
      </c>
    </row>
    <row r="13" spans="1:23" x14ac:dyDescent="0.2">
      <c r="B13" s="763" t="s">
        <v>3243</v>
      </c>
      <c r="C13">
        <v>8</v>
      </c>
      <c r="D13" s="167" t="s">
        <v>1003</v>
      </c>
      <c r="E13" s="167">
        <v>2021</v>
      </c>
      <c r="F13" s="316">
        <v>5000</v>
      </c>
      <c r="G13" s="167" t="s">
        <v>1004</v>
      </c>
      <c r="H13" s="736">
        <f>ROUND('SUMMARY FORM'!N34,0)</f>
        <v>0</v>
      </c>
      <c r="I13" s="736"/>
      <c r="J13" s="167"/>
      <c r="K13" s="763">
        <f>IF($K$2="Y",'SUMMARY FORM'!$Q$6,'SUMMARY FORM'!$D$8:$D$8)</f>
        <v>0</v>
      </c>
      <c r="L13" s="763">
        <f>IF($L$2="Y",'SUMMARY FORM'!$Q$8,'SUMMARY FORM'!$L$6)</f>
        <v>0</v>
      </c>
      <c r="M13" s="763">
        <f>IF($L$2="Y",'SUMMARY FORM'!$Q$10,'SUMMARY FORM'!$J$6)</f>
        <v>0</v>
      </c>
      <c r="N13" s="763">
        <f>IF($L$2="Y",'SUMMARY FORM'!$Q$12,LEFT('SUMMARY FORM'!$J$4:$J$4,4))</f>
        <v>0</v>
      </c>
      <c r="O13" t="str">
        <f>IF(LEFT(IF($O$2="Y",'SUMMARY FORM'!$Q$4,'SUMMARY FORM'!$N$6),2)="PG",IF($O$2="Y",'SUMMARY FORM'!$Q$4,'SUMMARY FORM'!$N$6),"")</f>
        <v/>
      </c>
      <c r="P13" t="str">
        <f>IF(LEFT(IF($O$2="Y",'SUMMARY FORM'!$Q$4,'SUMMARY FORM'!$N$6),2)="PJ",IF($O$2="Y",'SUMMARY FORM'!$Q$4,'SUMMARY FORM'!$N$6),"")</f>
        <v/>
      </c>
      <c r="Q13" t="str">
        <f>IF(LEFT(IF($O$2="Y",'SUMMARY FORM'!$Q$4,'SUMMARY FORM'!$N$6),2)="GF",IF($O$2="Y",'SUMMARY FORM'!$Q$4,'SUMMARY FORM'!$N$6),"")</f>
        <v/>
      </c>
      <c r="R13" t="str">
        <f>IF(LEFT(IF($O$2="Y",'SUMMARY FORM'!$Q$4,'SUMMARY FORM'!$N$6),2)="GR",IF($O$2="Y",'SUMMARY FORM'!$Q$4,'SUMMARY FORM'!$N$6),"")</f>
        <v/>
      </c>
      <c r="V13" t="s">
        <v>1274</v>
      </c>
    </row>
    <row r="14" spans="1:23" x14ac:dyDescent="0.2">
      <c r="B14" s="763" t="s">
        <v>3243</v>
      </c>
      <c r="C14">
        <v>9</v>
      </c>
      <c r="D14" s="167" t="s">
        <v>1003</v>
      </c>
      <c r="E14" s="167">
        <v>2021</v>
      </c>
      <c r="F14" s="316">
        <v>5400</v>
      </c>
      <c r="G14" s="167" t="s">
        <v>1004</v>
      </c>
      <c r="H14" s="736">
        <f>ROUND('SUMMARY FORM'!N36,0)</f>
        <v>0</v>
      </c>
      <c r="I14" s="736"/>
      <c r="J14" s="167"/>
      <c r="K14" s="763">
        <f>IF($K$2="Y",'SUMMARY FORM'!$Q$6,'SUMMARY FORM'!$D$8:$D$8)</f>
        <v>0</v>
      </c>
      <c r="L14" s="763">
        <f>IF($L$2="Y",'SUMMARY FORM'!$Q$8,'SUMMARY FORM'!$L$6)</f>
        <v>0</v>
      </c>
      <c r="M14" s="763">
        <f>IF($L$2="Y",'SUMMARY FORM'!$Q$10,'SUMMARY FORM'!$J$6)</f>
        <v>0</v>
      </c>
      <c r="N14" s="763">
        <f>IF($L$2="Y",'SUMMARY FORM'!$Q$12,LEFT('SUMMARY FORM'!$J$4:$J$4,4))</f>
        <v>0</v>
      </c>
      <c r="O14" t="str">
        <f>IF(LEFT(IF($O$2="Y",'SUMMARY FORM'!$Q$4,'SUMMARY FORM'!$N$6),2)="PG",IF($O$2="Y",'SUMMARY FORM'!$Q$4,'SUMMARY FORM'!$N$6),"")</f>
        <v/>
      </c>
      <c r="P14" t="str">
        <f>IF(LEFT(IF($O$2="Y",'SUMMARY FORM'!$Q$4,'SUMMARY FORM'!$N$6),2)="PJ",IF($O$2="Y",'SUMMARY FORM'!$Q$4,'SUMMARY FORM'!$N$6),"")</f>
        <v/>
      </c>
      <c r="Q14" t="str">
        <f>IF(LEFT(IF($O$2="Y",'SUMMARY FORM'!$Q$4,'SUMMARY FORM'!$N$6),2)="GF",IF($O$2="Y",'SUMMARY FORM'!$Q$4,'SUMMARY FORM'!$N$6),"")</f>
        <v/>
      </c>
      <c r="R14" t="str">
        <f>IF(LEFT(IF($O$2="Y",'SUMMARY FORM'!$Q$4,'SUMMARY FORM'!$N$6),2)="GR",IF($O$2="Y",'SUMMARY FORM'!$Q$4,'SUMMARY FORM'!$N$6),"")</f>
        <v/>
      </c>
      <c r="V14" t="s">
        <v>1275</v>
      </c>
    </row>
    <row r="15" spans="1:23" x14ac:dyDescent="0.2">
      <c r="B15" s="763" t="s">
        <v>3243</v>
      </c>
      <c r="C15" s="167">
        <v>10</v>
      </c>
      <c r="D15" s="167" t="s">
        <v>1003</v>
      </c>
      <c r="E15" s="167">
        <v>2021</v>
      </c>
      <c r="F15" s="316">
        <v>5500</v>
      </c>
      <c r="G15" s="167" t="s">
        <v>1004</v>
      </c>
      <c r="H15" s="736">
        <f>ROUND('SUMMARY FORM'!N39,0)</f>
        <v>0</v>
      </c>
      <c r="I15" s="736"/>
      <c r="J15" s="167"/>
      <c r="K15" s="763">
        <f>IF($K$2="Y",'SUMMARY FORM'!$Q$6,'SUMMARY FORM'!$D$8:$D$8)</f>
        <v>0</v>
      </c>
      <c r="L15" s="763">
        <f>IF($L$2="Y",'SUMMARY FORM'!$Q$8,'SUMMARY FORM'!$L$6)</f>
        <v>0</v>
      </c>
      <c r="M15" s="763">
        <f>IF($L$2="Y",'SUMMARY FORM'!$Q$10,'SUMMARY FORM'!$J$6)</f>
        <v>0</v>
      </c>
      <c r="N15" s="763">
        <f>IF($L$2="Y",'SUMMARY FORM'!$Q$12,LEFT('SUMMARY FORM'!$J$4:$J$4,4))</f>
        <v>0</v>
      </c>
      <c r="O15" t="str">
        <f>IF(LEFT(IF($O$2="Y",'SUMMARY FORM'!$Q$4,'SUMMARY FORM'!$N$6),2)="PG",IF($O$2="Y",'SUMMARY FORM'!$Q$4,'SUMMARY FORM'!$N$6),"")</f>
        <v/>
      </c>
      <c r="P15" t="str">
        <f>IF(LEFT(IF($O$2="Y",'SUMMARY FORM'!$Q$4,'SUMMARY FORM'!$N$6),2)="PJ",IF($O$2="Y",'SUMMARY FORM'!$Q$4,'SUMMARY FORM'!$N$6),"")</f>
        <v/>
      </c>
      <c r="Q15" t="str">
        <f>IF(LEFT(IF($O$2="Y",'SUMMARY FORM'!$Q$4,'SUMMARY FORM'!$N$6),2)="GF",IF($O$2="Y",'SUMMARY FORM'!$Q$4,'SUMMARY FORM'!$N$6),"")</f>
        <v/>
      </c>
      <c r="R15" t="str">
        <f>IF(LEFT(IF($O$2="Y",'SUMMARY FORM'!$Q$4,'SUMMARY FORM'!$N$6),2)="GR",IF($O$2="Y",'SUMMARY FORM'!$Q$4,'SUMMARY FORM'!$N$6),"")</f>
        <v/>
      </c>
      <c r="V15" t="s">
        <v>1276</v>
      </c>
    </row>
    <row r="16" spans="1:23" x14ac:dyDescent="0.2">
      <c r="B16" s="763" t="s">
        <v>3243</v>
      </c>
      <c r="C16">
        <v>11</v>
      </c>
      <c r="D16" s="167" t="s">
        <v>1003</v>
      </c>
      <c r="E16" s="167">
        <v>2021</v>
      </c>
      <c r="F16" s="316">
        <v>5700</v>
      </c>
      <c r="G16" s="167" t="s">
        <v>1004</v>
      </c>
      <c r="H16" s="736">
        <f>ROUND('SUMMARY FORM'!N41,0)</f>
        <v>0</v>
      </c>
      <c r="I16" s="736"/>
      <c r="J16" s="167"/>
      <c r="K16" s="763">
        <f>IF($K$2="Y",'SUMMARY FORM'!$Q$6,'SUMMARY FORM'!$D$8:$D$8)</f>
        <v>0</v>
      </c>
      <c r="L16" s="763">
        <f>IF($L$2="Y",'SUMMARY FORM'!$Q$8,'SUMMARY FORM'!$L$6)</f>
        <v>0</v>
      </c>
      <c r="M16" s="763">
        <f>IF($L$2="Y",'SUMMARY FORM'!$Q$10,'SUMMARY FORM'!$J$6)</f>
        <v>0</v>
      </c>
      <c r="N16" s="763">
        <f>IF($L$2="Y",'SUMMARY FORM'!$Q$12,LEFT('SUMMARY FORM'!$J$4:$J$4,4))</f>
        <v>0</v>
      </c>
      <c r="O16" t="str">
        <f>IF(LEFT(IF($O$2="Y",'SUMMARY FORM'!$Q$4,'SUMMARY FORM'!$N$6),2)="PG",IF($O$2="Y",'SUMMARY FORM'!$Q$4,'SUMMARY FORM'!$N$6),"")</f>
        <v/>
      </c>
      <c r="P16" t="str">
        <f>IF(LEFT(IF($O$2="Y",'SUMMARY FORM'!$Q$4,'SUMMARY FORM'!$N$6),2)="PJ",IF($O$2="Y",'SUMMARY FORM'!$Q$4,'SUMMARY FORM'!$N$6),"")</f>
        <v/>
      </c>
      <c r="Q16" t="str">
        <f>IF(LEFT(IF($O$2="Y",'SUMMARY FORM'!$Q$4,'SUMMARY FORM'!$N$6),2)="GF",IF($O$2="Y",'SUMMARY FORM'!$Q$4,'SUMMARY FORM'!$N$6),"")</f>
        <v/>
      </c>
      <c r="R16" t="str">
        <f>IF(LEFT(IF($O$2="Y",'SUMMARY FORM'!$Q$4,'SUMMARY FORM'!$N$6),2)="GR",IF($O$2="Y",'SUMMARY FORM'!$Q$4,'SUMMARY FORM'!$N$6),"")</f>
        <v/>
      </c>
      <c r="V16" t="s">
        <v>1277</v>
      </c>
    </row>
    <row r="17" spans="1:29" x14ac:dyDescent="0.2">
      <c r="B17" s="763" t="s">
        <v>3243</v>
      </c>
      <c r="C17">
        <v>12</v>
      </c>
      <c r="D17" s="167" t="s">
        <v>1003</v>
      </c>
      <c r="E17" s="167">
        <v>2021</v>
      </c>
      <c r="F17" s="316">
        <v>5900</v>
      </c>
      <c r="G17" s="167" t="s">
        <v>1004</v>
      </c>
      <c r="H17" s="736">
        <f>ROUND('SUMMARY FORM'!N43,0)</f>
        <v>0</v>
      </c>
      <c r="I17" s="736"/>
      <c r="J17" s="167"/>
      <c r="K17" s="763">
        <f>IF($K$2="Y",'SUMMARY FORM'!$Q$6,'SUMMARY FORM'!$D$8:$D$8)</f>
        <v>0</v>
      </c>
      <c r="L17" s="763">
        <f>IF($L$2="Y",'SUMMARY FORM'!$Q$8,'SUMMARY FORM'!$L$6)</f>
        <v>0</v>
      </c>
      <c r="M17" s="763">
        <f>IF($L$2="Y",'SUMMARY FORM'!$Q$10,'SUMMARY FORM'!$J$6)</f>
        <v>0</v>
      </c>
      <c r="N17" s="763">
        <f>IF($L$2="Y",'SUMMARY FORM'!$Q$12,LEFT('SUMMARY FORM'!$J$4:$J$4,4))</f>
        <v>0</v>
      </c>
      <c r="O17" t="str">
        <f>IF(LEFT(IF($O$2="Y",'SUMMARY FORM'!$Q$4,'SUMMARY FORM'!$N$6),2)="PG",IF($O$2="Y",'SUMMARY FORM'!$Q$4,'SUMMARY FORM'!$N$6),"")</f>
        <v/>
      </c>
      <c r="P17" t="str">
        <f>IF(LEFT(IF($O$2="Y",'SUMMARY FORM'!$Q$4,'SUMMARY FORM'!$N$6),2)="PJ",IF($O$2="Y",'SUMMARY FORM'!$Q$4,'SUMMARY FORM'!$N$6),"")</f>
        <v/>
      </c>
      <c r="Q17" t="str">
        <f>IF(LEFT(IF($O$2="Y",'SUMMARY FORM'!$Q$4,'SUMMARY FORM'!$N$6),2)="GF",IF($O$2="Y",'SUMMARY FORM'!$Q$4,'SUMMARY FORM'!$N$6),"")</f>
        <v/>
      </c>
      <c r="R17" t="str">
        <f>IF(LEFT(IF($O$2="Y",'SUMMARY FORM'!$Q$4,'SUMMARY FORM'!$N$6),2)="GR",IF($O$2="Y",'SUMMARY FORM'!$Q$4,'SUMMARY FORM'!$N$6),"")</f>
        <v/>
      </c>
      <c r="V17" t="s">
        <v>1278</v>
      </c>
    </row>
    <row r="18" spans="1:29" x14ac:dyDescent="0.2">
      <c r="B18" s="763" t="s">
        <v>3243</v>
      </c>
      <c r="C18" s="167">
        <v>13</v>
      </c>
      <c r="D18" s="167" t="s">
        <v>1003</v>
      </c>
      <c r="E18" s="167">
        <v>2021</v>
      </c>
      <c r="F18" s="316">
        <v>6000</v>
      </c>
      <c r="G18" s="167" t="s">
        <v>1004</v>
      </c>
      <c r="H18" s="736">
        <f>ROUND('SUMMARY FORM'!N45,0)</f>
        <v>0</v>
      </c>
      <c r="I18" s="736"/>
      <c r="J18" s="167"/>
      <c r="K18" s="763">
        <f>IF($K$2="Y",'SUMMARY FORM'!$Q$6,'SUMMARY FORM'!$D$8:$D$8)</f>
        <v>0</v>
      </c>
      <c r="L18" s="763">
        <f>IF($L$2="Y",'SUMMARY FORM'!$Q$8,'SUMMARY FORM'!$L$6)</f>
        <v>0</v>
      </c>
      <c r="M18" s="763">
        <f>IF($L$2="Y",'SUMMARY FORM'!$Q$10,'SUMMARY FORM'!$J$6)</f>
        <v>0</v>
      </c>
      <c r="N18" s="763">
        <f>IF($L$2="Y",'SUMMARY FORM'!$Q$12,LEFT('SUMMARY FORM'!$J$4:$J$4,4))</f>
        <v>0</v>
      </c>
      <c r="O18" t="str">
        <f>IF(LEFT(IF($O$2="Y",'SUMMARY FORM'!$Q$4,'SUMMARY FORM'!$N$6),2)="PG",IF($O$2="Y",'SUMMARY FORM'!$Q$4,'SUMMARY FORM'!$N$6),"")</f>
        <v/>
      </c>
      <c r="P18" t="str">
        <f>IF(LEFT(IF($O$2="Y",'SUMMARY FORM'!$Q$4,'SUMMARY FORM'!$N$6),2)="PJ",IF($O$2="Y",'SUMMARY FORM'!$Q$4,'SUMMARY FORM'!$N$6),"")</f>
        <v/>
      </c>
      <c r="Q18" t="str">
        <f>IF(LEFT(IF($O$2="Y",'SUMMARY FORM'!$Q$4,'SUMMARY FORM'!$N$6),2)="GF",IF($O$2="Y",'SUMMARY FORM'!$Q$4,'SUMMARY FORM'!$N$6),"")</f>
        <v/>
      </c>
      <c r="R18" t="str">
        <f>IF(LEFT(IF($O$2="Y",'SUMMARY FORM'!$Q$4,'SUMMARY FORM'!$N$6),2)="GR",IF($O$2="Y",'SUMMARY FORM'!$Q$4,'SUMMARY FORM'!$N$6),"")</f>
        <v/>
      </c>
      <c r="V18" t="s">
        <v>1279</v>
      </c>
    </row>
    <row r="19" spans="1:29" x14ac:dyDescent="0.2">
      <c r="B19" s="763" t="s">
        <v>3243</v>
      </c>
      <c r="C19">
        <v>14</v>
      </c>
      <c r="D19" s="167" t="s">
        <v>1003</v>
      </c>
      <c r="E19" s="167">
        <v>2021</v>
      </c>
      <c r="F19" s="316">
        <v>6200</v>
      </c>
      <c r="G19" s="167" t="s">
        <v>1004</v>
      </c>
      <c r="H19" s="736">
        <f>ROUND('SUMMARY FORM'!N47,0)</f>
        <v>0</v>
      </c>
      <c r="I19" s="736"/>
      <c r="J19" s="167"/>
      <c r="K19" s="763">
        <f>IF($K$2="Y",'SUMMARY FORM'!$Q$6,'SUMMARY FORM'!$D$8:$D$8)</f>
        <v>0</v>
      </c>
      <c r="L19" s="763">
        <f>IF($L$2="Y",'SUMMARY FORM'!$Q$8,'SUMMARY FORM'!$L$6)</f>
        <v>0</v>
      </c>
      <c r="M19" s="763">
        <f>IF($L$2="Y",'SUMMARY FORM'!$Q$10,'SUMMARY FORM'!$J$6)</f>
        <v>0</v>
      </c>
      <c r="N19" s="763">
        <f>IF($L$2="Y",'SUMMARY FORM'!$Q$12,LEFT('SUMMARY FORM'!$J$4:$J$4,4))</f>
        <v>0</v>
      </c>
      <c r="O19" t="str">
        <f>IF(LEFT(IF($O$2="Y",'SUMMARY FORM'!$Q$4,'SUMMARY FORM'!$N$6),2)="PG",IF($O$2="Y",'SUMMARY FORM'!$Q$4,'SUMMARY FORM'!$N$6),"")</f>
        <v/>
      </c>
      <c r="P19" t="str">
        <f>IF(LEFT(IF($O$2="Y",'SUMMARY FORM'!$Q$4,'SUMMARY FORM'!$N$6),2)="PJ",IF($O$2="Y",'SUMMARY FORM'!$Q$4,'SUMMARY FORM'!$N$6),"")</f>
        <v/>
      </c>
      <c r="Q19" t="str">
        <f>IF(LEFT(IF($O$2="Y",'SUMMARY FORM'!$Q$4,'SUMMARY FORM'!$N$6),2)="GF",IF($O$2="Y",'SUMMARY FORM'!$Q$4,'SUMMARY FORM'!$N$6),"")</f>
        <v/>
      </c>
      <c r="R19" t="str">
        <f>IF(LEFT(IF($O$2="Y",'SUMMARY FORM'!$Q$4,'SUMMARY FORM'!$N$6),2)="GR",IF($O$2="Y",'SUMMARY FORM'!$Q$4,'SUMMARY FORM'!$N$6),"")</f>
        <v/>
      </c>
      <c r="V19" t="s">
        <v>1198</v>
      </c>
    </row>
    <row r="20" spans="1:29" x14ac:dyDescent="0.2">
      <c r="B20" s="763" t="s">
        <v>3243</v>
      </c>
      <c r="C20">
        <v>15</v>
      </c>
      <c r="D20" s="167" t="s">
        <v>1003</v>
      </c>
      <c r="E20" s="167">
        <v>2021</v>
      </c>
      <c r="F20" s="316">
        <v>6300</v>
      </c>
      <c r="G20" s="167" t="s">
        <v>1004</v>
      </c>
      <c r="H20" s="736">
        <f>ROUND('SUMMARY FORM'!N49,0)</f>
        <v>0</v>
      </c>
      <c r="I20" s="736"/>
      <c r="J20" s="167"/>
      <c r="K20" s="763">
        <f>IF($K$2="Y",'SUMMARY FORM'!$Q$6,'SUMMARY FORM'!$D$8:$D$8)</f>
        <v>0</v>
      </c>
      <c r="L20" s="763">
        <f>IF($L$2="Y",'SUMMARY FORM'!$Q$8,'SUMMARY FORM'!$L$6)</f>
        <v>0</v>
      </c>
      <c r="M20" s="763">
        <f>IF($L$2="Y",'SUMMARY FORM'!$Q$10,'SUMMARY FORM'!$J$6)</f>
        <v>0</v>
      </c>
      <c r="N20" s="763">
        <f>IF($L$2="Y",'SUMMARY FORM'!$Q$12,LEFT('SUMMARY FORM'!$J$4:$J$4,4))</f>
        <v>0</v>
      </c>
      <c r="O20" t="str">
        <f>IF(LEFT(IF($O$2="Y",'SUMMARY FORM'!$Q$4,'SUMMARY FORM'!$N$6),2)="PG",IF($O$2="Y",'SUMMARY FORM'!$Q$4,'SUMMARY FORM'!$N$6),"")</f>
        <v/>
      </c>
      <c r="P20" t="str">
        <f>IF(LEFT(IF($O$2="Y",'SUMMARY FORM'!$Q$4,'SUMMARY FORM'!$N$6),2)="PJ",IF($O$2="Y",'SUMMARY FORM'!$Q$4,'SUMMARY FORM'!$N$6),"")</f>
        <v/>
      </c>
      <c r="Q20" t="str">
        <f>IF(LEFT(IF($O$2="Y",'SUMMARY FORM'!$Q$4,'SUMMARY FORM'!$N$6),2)="GF",IF($O$2="Y",'SUMMARY FORM'!$Q$4,'SUMMARY FORM'!$N$6),"")</f>
        <v/>
      </c>
      <c r="R20" t="str">
        <f>IF(LEFT(IF($O$2="Y",'SUMMARY FORM'!$Q$4,'SUMMARY FORM'!$N$6),2)="GR",IF($O$2="Y",'SUMMARY FORM'!$Q$4,'SUMMARY FORM'!$N$6),"")</f>
        <v/>
      </c>
      <c r="V20" t="s">
        <v>1280</v>
      </c>
    </row>
    <row r="21" spans="1:29" x14ac:dyDescent="0.2">
      <c r="B21" s="763" t="s">
        <v>3243</v>
      </c>
      <c r="C21" s="167">
        <v>16</v>
      </c>
      <c r="D21" s="167" t="s">
        <v>1003</v>
      </c>
      <c r="E21" s="167">
        <v>2021</v>
      </c>
      <c r="F21" s="316">
        <v>6400</v>
      </c>
      <c r="G21" s="167" t="s">
        <v>1004</v>
      </c>
      <c r="H21" s="736"/>
      <c r="I21" s="736">
        <f>ROUND(-'SUMMARY FORM'!N51,0)</f>
        <v>0</v>
      </c>
      <c r="J21" s="167"/>
      <c r="K21" s="763">
        <f>IF($K$2="Y",'SUMMARY FORM'!$Q$6,'SUMMARY FORM'!$D$8:$D$8)</f>
        <v>0</v>
      </c>
      <c r="L21" s="763">
        <f>IF($L$2="Y",'SUMMARY FORM'!$Q$8,'SUMMARY FORM'!$L$6)</f>
        <v>0</v>
      </c>
      <c r="M21" s="763">
        <f>IF($L$2="Y",'SUMMARY FORM'!$Q$10,'SUMMARY FORM'!$J$6)</f>
        <v>0</v>
      </c>
      <c r="N21" s="763">
        <f>IF($L$2="Y",'SUMMARY FORM'!$Q$12,LEFT('SUMMARY FORM'!$J$4:$J$4,4))</f>
        <v>0</v>
      </c>
      <c r="O21" t="str">
        <f>IF(LEFT(IF($O$2="Y",'SUMMARY FORM'!$Q$4,'SUMMARY FORM'!$N$6),2)="PG",IF($O$2="Y",'SUMMARY FORM'!$Q$4,'SUMMARY FORM'!$N$6),"")</f>
        <v/>
      </c>
      <c r="P21" t="str">
        <f>IF(LEFT(IF($O$2="Y",'SUMMARY FORM'!$Q$4,'SUMMARY FORM'!$N$6),2)="PJ",IF($O$2="Y",'SUMMARY FORM'!$Q$4,'SUMMARY FORM'!$N$6),"")</f>
        <v/>
      </c>
      <c r="Q21" t="str">
        <f>IF(LEFT(IF($O$2="Y",'SUMMARY FORM'!$Q$4,'SUMMARY FORM'!$N$6),2)="GF",IF($O$2="Y",'SUMMARY FORM'!$Q$4,'SUMMARY FORM'!$N$6),"")</f>
        <v/>
      </c>
      <c r="R21" t="str">
        <f>IF(LEFT(IF($O$2="Y",'SUMMARY FORM'!$Q$4,'SUMMARY FORM'!$N$6),2)="GR",IF($O$2="Y",'SUMMARY FORM'!$Q$4,'SUMMARY FORM'!$N$6),"")</f>
        <v/>
      </c>
      <c r="V21" t="s">
        <v>1281</v>
      </c>
    </row>
    <row r="22" spans="1:29" x14ac:dyDescent="0.2">
      <c r="B22" s="763" t="s">
        <v>3243</v>
      </c>
      <c r="C22">
        <v>17</v>
      </c>
      <c r="D22" s="167" t="s">
        <v>1003</v>
      </c>
      <c r="E22" s="167">
        <v>2021</v>
      </c>
      <c r="F22" s="316">
        <v>6500</v>
      </c>
      <c r="G22" s="167" t="s">
        <v>1004</v>
      </c>
      <c r="H22" s="736">
        <f>ROUND('SUMMARY FORM'!N53,0)</f>
        <v>0</v>
      </c>
      <c r="I22" s="736"/>
      <c r="J22" s="167"/>
      <c r="K22" s="763">
        <f>IF($K$2="Y",'SUMMARY FORM'!$Q$6,'SUMMARY FORM'!$D$8:$D$8)</f>
        <v>0</v>
      </c>
      <c r="L22" s="763">
        <f>IF($L$2="Y",'SUMMARY FORM'!$Q$8,'SUMMARY FORM'!$L$6)</f>
        <v>0</v>
      </c>
      <c r="M22" s="763">
        <f>IF($L$2="Y",'SUMMARY FORM'!$Q$10,'SUMMARY FORM'!$J$6)</f>
        <v>0</v>
      </c>
      <c r="N22" s="763">
        <f>IF($L$2="Y",'SUMMARY FORM'!$Q$12,LEFT('SUMMARY FORM'!$J$4:$J$4,4))</f>
        <v>0</v>
      </c>
      <c r="O22" t="str">
        <f>IF(LEFT(IF($O$2="Y",'SUMMARY FORM'!$Q$4,'SUMMARY FORM'!$N$6),2)="PG",IF($O$2="Y",'SUMMARY FORM'!$Q$4,'SUMMARY FORM'!$N$6),"")</f>
        <v/>
      </c>
      <c r="P22" t="str">
        <f>IF(LEFT(IF($O$2="Y",'SUMMARY FORM'!$Q$4,'SUMMARY FORM'!$N$6),2)="PJ",IF($O$2="Y",'SUMMARY FORM'!$Q$4,'SUMMARY FORM'!$N$6),"")</f>
        <v/>
      </c>
      <c r="Q22" t="str">
        <f>IF(LEFT(IF($O$2="Y",'SUMMARY FORM'!$Q$4,'SUMMARY FORM'!$N$6),2)="GF",IF($O$2="Y",'SUMMARY FORM'!$Q$4,'SUMMARY FORM'!$N$6),"")</f>
        <v/>
      </c>
      <c r="R22" t="str">
        <f>IF(LEFT(IF($O$2="Y",'SUMMARY FORM'!$Q$4,'SUMMARY FORM'!$N$6),2)="GR",IF($O$2="Y",'SUMMARY FORM'!$Q$4,'SUMMARY FORM'!$N$6),"")</f>
        <v/>
      </c>
      <c r="V22" t="s">
        <v>1282</v>
      </c>
    </row>
    <row r="23" spans="1:29" x14ac:dyDescent="0.2">
      <c r="B23" s="763" t="s">
        <v>3243</v>
      </c>
      <c r="C23" s="167">
        <v>18</v>
      </c>
      <c r="D23" s="167" t="s">
        <v>1003</v>
      </c>
      <c r="E23" s="167">
        <v>2021</v>
      </c>
      <c r="F23" s="316">
        <v>7900</v>
      </c>
      <c r="G23" s="167" t="s">
        <v>1004</v>
      </c>
      <c r="H23" s="736">
        <f>IF('SUMMARY FORM'!N59&lt;0,0,ROUND('SUMMARY FORM'!N59,0))</f>
        <v>0</v>
      </c>
      <c r="I23" s="736"/>
      <c r="J23" s="167"/>
      <c r="K23" s="763">
        <f>IF($K$2="Y",'SUMMARY FORM'!$Q$6,'SUMMARY FORM'!$D$8:$D$8)</f>
        <v>0</v>
      </c>
      <c r="L23" s="763">
        <f>IF($L$2="Y",'SUMMARY FORM'!$Q$8,'SUMMARY FORM'!$L$6)</f>
        <v>0</v>
      </c>
      <c r="M23" s="763">
        <f>IF($L$2="Y",'SUMMARY FORM'!$Q$10,'SUMMARY FORM'!$J$6)</f>
        <v>0</v>
      </c>
      <c r="N23" s="763">
        <f>IF($L$2="Y",'SUMMARY FORM'!$Q$12,LEFT('SUMMARY FORM'!$J$4:$J$4,4))</f>
        <v>0</v>
      </c>
      <c r="O23" t="str">
        <f>IF(LEFT(IF($O$2="Y",'SUMMARY FORM'!$Q$4,'SUMMARY FORM'!$N$6),2)="PG",IF($O$2="Y",'SUMMARY FORM'!$Q$4,'SUMMARY FORM'!$N$6),"")</f>
        <v/>
      </c>
      <c r="P23" t="str">
        <f>IF(LEFT(IF($O$2="Y",'SUMMARY FORM'!$Q$4,'SUMMARY FORM'!$N$6),2)="PJ",IF($O$2="Y",'SUMMARY FORM'!$Q$4,'SUMMARY FORM'!$N$6),"")</f>
        <v/>
      </c>
      <c r="Q23" t="str">
        <f>IF(LEFT(IF($O$2="Y",'SUMMARY FORM'!$Q$4,'SUMMARY FORM'!$N$6),2)="GF",IF($O$2="Y",'SUMMARY FORM'!$Q$4,'SUMMARY FORM'!$N$6),"")</f>
        <v/>
      </c>
      <c r="R23" t="str">
        <f>IF(LEFT(IF($O$2="Y",'SUMMARY FORM'!$Q$4,'SUMMARY FORM'!$N$6),2)="GR",IF($O$2="Y",'SUMMARY FORM'!$Q$4,'SUMMARY FORM'!$N$6),"")</f>
        <v/>
      </c>
      <c r="V23" t="s">
        <v>1283</v>
      </c>
    </row>
    <row r="24" spans="1:29" x14ac:dyDescent="0.2">
      <c r="B24" s="763" t="s">
        <v>3243</v>
      </c>
      <c r="C24">
        <v>19</v>
      </c>
      <c r="D24" s="167" t="s">
        <v>1003</v>
      </c>
      <c r="E24" s="167">
        <v>2021</v>
      </c>
      <c r="F24" s="316">
        <v>7904</v>
      </c>
      <c r="G24" s="167" t="s">
        <v>1004</v>
      </c>
      <c r="H24" s="736"/>
      <c r="I24" s="736">
        <f>IF('SUMMARY FORM'!N59&gt;0,0,ROUND('SUMMARY FORM'!N59,0))</f>
        <v>0</v>
      </c>
      <c r="J24" s="167"/>
      <c r="K24" s="763">
        <f>IF($K$2="Y",'SUMMARY FORM'!$Q$6,'SUMMARY FORM'!$D$8:$D$8)</f>
        <v>0</v>
      </c>
      <c r="L24" s="763">
        <f>IF($L$2="Y",'SUMMARY FORM'!$Q$8,'SUMMARY FORM'!$L$6)</f>
        <v>0</v>
      </c>
      <c r="M24" s="763">
        <f>IF($L$2="Y",'SUMMARY FORM'!$Q$10,'SUMMARY FORM'!$J$6)</f>
        <v>0</v>
      </c>
      <c r="N24" s="763">
        <f>IF($L$2="Y",'SUMMARY FORM'!$Q$12,LEFT('SUMMARY FORM'!$J$4:$J$4,4))</f>
        <v>0</v>
      </c>
      <c r="O24" t="str">
        <f>IF(LEFT(IF($O$2="Y",'SUMMARY FORM'!$Q$4,'SUMMARY FORM'!$N$6),2)="PG",IF($O$2="Y",'SUMMARY FORM'!$Q$4,'SUMMARY FORM'!$N$6),"")</f>
        <v/>
      </c>
      <c r="P24" t="str">
        <f>IF(LEFT(IF($O$2="Y",'SUMMARY FORM'!$Q$4,'SUMMARY FORM'!$N$6),2)="PJ",IF($O$2="Y",'SUMMARY FORM'!$Q$4,'SUMMARY FORM'!$N$6),"")</f>
        <v/>
      </c>
      <c r="Q24" t="str">
        <f>IF(LEFT(IF($O$2="Y",'SUMMARY FORM'!$Q$4,'SUMMARY FORM'!$N$6),2)="GF",IF($O$2="Y",'SUMMARY FORM'!$Q$4,'SUMMARY FORM'!$N$6),"")</f>
        <v/>
      </c>
      <c r="R24" t="str">
        <f>IF(LEFT(IF($O$2="Y",'SUMMARY FORM'!$Q$4,'SUMMARY FORM'!$N$6),2)="GR",IF($O$2="Y",'SUMMARY FORM'!$Q$4,'SUMMARY FORM'!$N$6),"")</f>
        <v/>
      </c>
      <c r="V24" t="s">
        <v>1283</v>
      </c>
    </row>
    <row r="25" spans="1:29" x14ac:dyDescent="0.2">
      <c r="B25" s="763" t="s">
        <v>3243</v>
      </c>
      <c r="C25">
        <v>20</v>
      </c>
      <c r="D25" s="167" t="s">
        <v>1003</v>
      </c>
      <c r="E25" s="167">
        <v>2021</v>
      </c>
      <c r="F25" s="316">
        <v>8000</v>
      </c>
      <c r="G25" s="167" t="s">
        <v>1004</v>
      </c>
      <c r="H25" s="736"/>
      <c r="I25" s="736">
        <f>ROUND('FORM R1'!G37,0)</f>
        <v>0</v>
      </c>
      <c r="J25" s="167"/>
      <c r="K25" s="763">
        <f>IF($K$2="Y",'SUMMARY FORM'!$Q$6,'SUMMARY FORM'!$D$8:$D$8)</f>
        <v>0</v>
      </c>
      <c r="L25" s="763">
        <f>IF($L$2="Y",'SUMMARY FORM'!$Q$8,'SUMMARY FORM'!$L$6)</f>
        <v>0</v>
      </c>
      <c r="M25" s="763">
        <f>IF($L$2="Y",'SUMMARY FORM'!$Q$10,'SUMMARY FORM'!$J$6)</f>
        <v>0</v>
      </c>
      <c r="N25" s="763">
        <f>IF($L$2="Y",'SUMMARY FORM'!$Q$12,LEFT('SUMMARY FORM'!$J$4:$J$4,4))</f>
        <v>0</v>
      </c>
      <c r="O25" t="str">
        <f>IF(LEFT(IF($O$2="Y",'SUMMARY FORM'!$Q$4,'SUMMARY FORM'!$N$6),2)="PG",IF($O$2="Y",'SUMMARY FORM'!$Q$4,'SUMMARY FORM'!$N$6),"")</f>
        <v/>
      </c>
      <c r="P25" t="str">
        <f>IF(LEFT(IF($O$2="Y",'SUMMARY FORM'!$Q$4,'SUMMARY FORM'!$N$6),2)="PJ",IF($O$2="Y",'SUMMARY FORM'!$Q$4,'SUMMARY FORM'!$N$6),"")</f>
        <v/>
      </c>
      <c r="Q25" t="str">
        <f>IF(LEFT(IF($O$2="Y",'SUMMARY FORM'!$Q$4,'SUMMARY FORM'!$N$6),2)="GF",IF($O$2="Y",'SUMMARY FORM'!$Q$4,'SUMMARY FORM'!$N$6),"")</f>
        <v/>
      </c>
      <c r="R25" t="str">
        <f>IF(LEFT(IF($O$2="Y",'SUMMARY FORM'!$Q$4,'SUMMARY FORM'!$N$6),2)="GR",IF($O$2="Y",'SUMMARY FORM'!$Q$4,'SUMMARY FORM'!$N$6),"")</f>
        <v/>
      </c>
      <c r="V25" t="s">
        <v>1284</v>
      </c>
    </row>
    <row r="26" spans="1:29" x14ac:dyDescent="0.2">
      <c r="B26" s="763" t="s">
        <v>3243</v>
      </c>
      <c r="C26" s="167">
        <v>21</v>
      </c>
      <c r="D26" s="167" t="s">
        <v>1003</v>
      </c>
      <c r="E26" s="167">
        <v>2021</v>
      </c>
      <c r="F26" s="316">
        <v>8100</v>
      </c>
      <c r="G26" s="167" t="s">
        <v>1004</v>
      </c>
      <c r="H26" s="736">
        <f>ROUND('SUMMARY FORM'!N55,0)</f>
        <v>0</v>
      </c>
      <c r="I26" s="736"/>
      <c r="J26" s="167"/>
      <c r="K26" s="763">
        <f>IF($K$2="Y",'SUMMARY FORM'!$Q$6,'SUMMARY FORM'!$D$8:$D$8)</f>
        <v>0</v>
      </c>
      <c r="L26" s="763">
        <f>IF($L$2="Y",'SUMMARY FORM'!$Q$8,'SUMMARY FORM'!$L$6)</f>
        <v>0</v>
      </c>
      <c r="M26" s="763">
        <f>IF($L$2="Y",'SUMMARY FORM'!$Q$10,'SUMMARY FORM'!$J$6)</f>
        <v>0</v>
      </c>
      <c r="N26" s="763">
        <f>IF($L$2="Y",'SUMMARY FORM'!$Q$12,LEFT('SUMMARY FORM'!$J$4:$J$4,4))</f>
        <v>0</v>
      </c>
      <c r="O26" t="str">
        <f>IF(LEFT(IF($O$2="Y",'SUMMARY FORM'!$Q$4,'SUMMARY FORM'!$N$6),2)="PG",IF($O$2="Y",'SUMMARY FORM'!$Q$4,'SUMMARY FORM'!$N$6),"")</f>
        <v/>
      </c>
      <c r="P26" t="str">
        <f>IF(LEFT(IF($O$2="Y",'SUMMARY FORM'!$Q$4,'SUMMARY FORM'!$N$6),2)="PJ",IF($O$2="Y",'SUMMARY FORM'!$Q$4,'SUMMARY FORM'!$N$6),"")</f>
        <v/>
      </c>
      <c r="Q26" t="str">
        <f>IF(LEFT(IF($O$2="Y",'SUMMARY FORM'!$Q$4,'SUMMARY FORM'!$N$6),2)="GF",IF($O$2="Y",'SUMMARY FORM'!$Q$4,'SUMMARY FORM'!$N$6),"")</f>
        <v/>
      </c>
      <c r="R26" t="str">
        <f>IF(LEFT(IF($O$2="Y",'SUMMARY FORM'!$Q$4,'SUMMARY FORM'!$N$6),2)="GR",IF($O$2="Y",'SUMMARY FORM'!$Q$4,'SUMMARY FORM'!$N$6),"")</f>
        <v/>
      </c>
      <c r="V26" t="s">
        <v>1285</v>
      </c>
    </row>
    <row r="27" spans="1:29" x14ac:dyDescent="0.2">
      <c r="B27" s="763" t="s">
        <v>3243</v>
      </c>
      <c r="C27">
        <v>22</v>
      </c>
      <c r="D27" s="167" t="s">
        <v>1003</v>
      </c>
      <c r="E27" s="167">
        <v>2021</v>
      </c>
      <c r="F27" s="316">
        <v>8104</v>
      </c>
      <c r="G27" s="167" t="s">
        <v>1004</v>
      </c>
      <c r="H27" s="736">
        <f>ROUND('SUMMARY FORM'!N57,0)</f>
        <v>0</v>
      </c>
      <c r="I27" s="736"/>
      <c r="J27" s="167"/>
      <c r="K27" s="763">
        <f>IF($K$2="Y",'SUMMARY FORM'!$Q$6,'SUMMARY FORM'!$D$8:$D$8)</f>
        <v>0</v>
      </c>
      <c r="L27" s="763">
        <f>IF($L$2="Y",'SUMMARY FORM'!$Q$8,'SUMMARY FORM'!$L$6)</f>
        <v>0</v>
      </c>
      <c r="M27" s="763">
        <f>IF($L$2="Y",'SUMMARY FORM'!$Q$10,'SUMMARY FORM'!$J$6)</f>
        <v>0</v>
      </c>
      <c r="N27" s="763">
        <f>IF($L$2="Y",'SUMMARY FORM'!$Q$12,LEFT('SUMMARY FORM'!$J$4:$J$4,4))</f>
        <v>0</v>
      </c>
      <c r="O27" t="str">
        <f>IF(LEFT(IF($O$2="Y",'SUMMARY FORM'!$Q$4,'SUMMARY FORM'!$N$6),2)="PG",IF($O$2="Y",'SUMMARY FORM'!$Q$4,'SUMMARY FORM'!$N$6),"")</f>
        <v/>
      </c>
      <c r="P27" t="str">
        <f>IF(LEFT(IF($O$2="Y",'SUMMARY FORM'!$Q$4,'SUMMARY FORM'!$N$6),2)="PJ",IF($O$2="Y",'SUMMARY FORM'!$Q$4,'SUMMARY FORM'!$N$6),"")</f>
        <v/>
      </c>
      <c r="Q27" t="str">
        <f>IF(LEFT(IF($O$2="Y",'SUMMARY FORM'!$Q$4,'SUMMARY FORM'!$N$6),2)="GF",IF($O$2="Y",'SUMMARY FORM'!$Q$4,'SUMMARY FORM'!$N$6),"")</f>
        <v/>
      </c>
      <c r="R27" t="str">
        <f>IF(LEFT(IF($O$2="Y",'SUMMARY FORM'!$Q$4,'SUMMARY FORM'!$N$6),2)="GR",IF($O$2="Y",'SUMMARY FORM'!$Q$4,'SUMMARY FORM'!$N$6),"")</f>
        <v/>
      </c>
      <c r="V27" t="s">
        <v>1286</v>
      </c>
    </row>
    <row r="28" spans="1:29" x14ac:dyDescent="0.2">
      <c r="B28" s="763" t="s">
        <v>3243</v>
      </c>
      <c r="C28">
        <v>23</v>
      </c>
      <c r="D28" s="167" t="s">
        <v>1003</v>
      </c>
      <c r="E28" s="167">
        <v>2021</v>
      </c>
      <c r="F28" s="316">
        <v>4900</v>
      </c>
      <c r="G28" s="167" t="s">
        <v>1004</v>
      </c>
      <c r="H28" s="736">
        <f>IF('SUMMARY FORM'!N21&gt;0,"",ROUND('SUMMARY FORM'!N21,0))</f>
        <v>0</v>
      </c>
      <c r="I28" s="736">
        <f>IF('SUMMARY FORM'!N21&lt;0,"",ROUND('SUMMARY FORM'!N21,0))</f>
        <v>0</v>
      </c>
      <c r="J28" s="167"/>
      <c r="K28" s="763">
        <f>IF($K$2="Y",'SUMMARY FORM'!$Q$6,'SUMMARY FORM'!$D$8:$D$8)</f>
        <v>0</v>
      </c>
      <c r="L28" s="763">
        <f>IF($L$2="Y",'SUMMARY FORM'!$Q$8,'SUMMARY FORM'!$L$6)</f>
        <v>0</v>
      </c>
      <c r="M28" s="763">
        <f>IF($L$2="Y",'SUMMARY FORM'!$Q$10,'SUMMARY FORM'!$J$6)</f>
        <v>0</v>
      </c>
      <c r="N28" s="763">
        <f>IF($L$2="Y",'SUMMARY FORM'!$Q$12,LEFT('SUMMARY FORM'!$J$4:$J$4,4))</f>
        <v>0</v>
      </c>
      <c r="O28" t="str">
        <f>IF(LEFT(IF($O$2="Y",'SUMMARY FORM'!$Q$4,'SUMMARY FORM'!$N$6),2)="PG",IF($O$2="Y",'SUMMARY FORM'!$Q$4,'SUMMARY FORM'!$N$6),"")</f>
        <v/>
      </c>
      <c r="P28" t="str">
        <f>IF(LEFT(IF($O$2="Y",'SUMMARY FORM'!$Q$4,'SUMMARY FORM'!$N$6),2)="PJ",IF($O$2="Y",'SUMMARY FORM'!$Q$4,'SUMMARY FORM'!$N$6),"")</f>
        <v/>
      </c>
      <c r="Q28" t="str">
        <f>IF(LEFT(IF($O$2="Y",'SUMMARY FORM'!$Q$4,'SUMMARY FORM'!$N$6),2)="GF",IF($O$2="Y",'SUMMARY FORM'!$Q$4,'SUMMARY FORM'!$N$6),"")</f>
        <v/>
      </c>
      <c r="R28" t="str">
        <f>IF(LEFT(IF($O$2="Y",'SUMMARY FORM'!$Q$4,'SUMMARY FORM'!$N$6),2)="GR",IF($O$2="Y",'SUMMARY FORM'!$Q$4,'SUMMARY FORM'!$N$6),"")</f>
        <v/>
      </c>
      <c r="V28" t="s">
        <v>1287</v>
      </c>
    </row>
    <row r="29" spans="1:29" x14ac:dyDescent="0.2">
      <c r="F29" s="836"/>
      <c r="G29" s="837" t="s">
        <v>1114</v>
      </c>
      <c r="H29" s="838">
        <f>SUM(H6:H28)</f>
        <v>0</v>
      </c>
      <c r="I29" s="839">
        <f>SUM(I6:I28)</f>
        <v>0</v>
      </c>
      <c r="J29" s="838">
        <f>I29-H29</f>
        <v>0</v>
      </c>
    </row>
    <row r="32" spans="1:29" s="923" customFormat="1" x14ac:dyDescent="0.2">
      <c r="A32" s="914"/>
      <c r="C32" s="915">
        <v>4000</v>
      </c>
      <c r="D32" s="916">
        <v>4300</v>
      </c>
      <c r="E32" s="917">
        <v>4400</v>
      </c>
      <c r="F32" s="916">
        <v>4500</v>
      </c>
      <c r="G32" s="916">
        <v>4600</v>
      </c>
      <c r="H32" s="916">
        <v>4708</v>
      </c>
      <c r="I32" s="916">
        <v>4800</v>
      </c>
      <c r="J32" s="916">
        <v>4900</v>
      </c>
      <c r="K32" s="916">
        <v>8000</v>
      </c>
      <c r="L32" s="918"/>
      <c r="M32" s="919"/>
      <c r="N32" s="920">
        <v>5000</v>
      </c>
      <c r="O32" s="921">
        <v>5400</v>
      </c>
      <c r="P32" s="922"/>
      <c r="Q32" s="921">
        <v>5500</v>
      </c>
      <c r="R32" s="921">
        <v>5700</v>
      </c>
      <c r="S32" s="921">
        <v>5900</v>
      </c>
      <c r="T32" s="921">
        <v>6000</v>
      </c>
      <c r="U32" s="921">
        <v>6200</v>
      </c>
      <c r="V32" s="915">
        <v>6300</v>
      </c>
      <c r="W32" s="921">
        <v>6400</v>
      </c>
      <c r="X32" s="921">
        <v>6500</v>
      </c>
      <c r="Y32" s="915">
        <v>8100</v>
      </c>
      <c r="Z32" s="915">
        <v>8104</v>
      </c>
      <c r="AA32" s="921">
        <v>7900</v>
      </c>
      <c r="AB32" s="921">
        <v>7904</v>
      </c>
      <c r="AC32" s="918"/>
    </row>
    <row r="33" spans="1:32" s="923" customFormat="1" x14ac:dyDescent="0.2">
      <c r="A33" s="914"/>
      <c r="C33" s="922" t="s">
        <v>520</v>
      </c>
      <c r="D33" s="924" t="s">
        <v>521</v>
      </c>
      <c r="E33" s="925" t="s">
        <v>522</v>
      </c>
      <c r="F33" s="924" t="s">
        <v>523</v>
      </c>
      <c r="G33" s="924" t="s">
        <v>524</v>
      </c>
      <c r="H33" s="924" t="s">
        <v>525</v>
      </c>
      <c r="I33" s="924" t="s">
        <v>526</v>
      </c>
      <c r="J33" s="924" t="s">
        <v>527</v>
      </c>
      <c r="K33" s="924" t="s">
        <v>528</v>
      </c>
      <c r="L33" s="918">
        <v>11</v>
      </c>
      <c r="M33" s="919" t="s">
        <v>872</v>
      </c>
      <c r="N33" s="926" t="s">
        <v>873</v>
      </c>
      <c r="O33" s="927" t="s">
        <v>874</v>
      </c>
      <c r="P33" s="922" t="s">
        <v>875</v>
      </c>
      <c r="Q33" s="927" t="s">
        <v>1183</v>
      </c>
      <c r="R33" s="927" t="s">
        <v>1184</v>
      </c>
      <c r="S33" s="927" t="s">
        <v>22</v>
      </c>
      <c r="T33" s="927" t="s">
        <v>32</v>
      </c>
      <c r="U33" s="927" t="s">
        <v>41</v>
      </c>
      <c r="V33" s="922" t="s">
        <v>50</v>
      </c>
      <c r="W33" s="927" t="s">
        <v>59</v>
      </c>
      <c r="X33" s="927" t="s">
        <v>68</v>
      </c>
      <c r="Y33" s="922" t="s">
        <v>77</v>
      </c>
      <c r="Z33" s="922" t="s">
        <v>86</v>
      </c>
      <c r="AA33" s="927" t="s">
        <v>95</v>
      </c>
      <c r="AB33" s="927" t="s">
        <v>104</v>
      </c>
      <c r="AC33" s="918"/>
    </row>
    <row r="34" spans="1:32" s="923" customFormat="1" x14ac:dyDescent="0.2">
      <c r="A34" s="928" t="s">
        <v>961</v>
      </c>
      <c r="C34" s="929" t="s">
        <v>1185</v>
      </c>
      <c r="D34" s="930" t="s">
        <v>1186</v>
      </c>
      <c r="E34" s="930" t="s">
        <v>1187</v>
      </c>
      <c r="F34" s="930" t="s">
        <v>1188</v>
      </c>
      <c r="G34" s="930" t="s">
        <v>1142</v>
      </c>
      <c r="H34" s="930" t="s">
        <v>1189</v>
      </c>
      <c r="I34" s="930" t="s">
        <v>1190</v>
      </c>
      <c r="J34" s="930" t="s">
        <v>1191</v>
      </c>
      <c r="K34" s="931" t="s">
        <v>1192</v>
      </c>
      <c r="M34" s="932" t="s">
        <v>1193</v>
      </c>
      <c r="N34" s="933" t="s">
        <v>1194</v>
      </c>
      <c r="O34" s="934" t="s">
        <v>1195</v>
      </c>
      <c r="P34" s="935" t="s">
        <v>1196</v>
      </c>
      <c r="Q34" s="934" t="s">
        <v>1197</v>
      </c>
      <c r="R34" s="934" t="s">
        <v>1135</v>
      </c>
      <c r="S34" s="934" t="s">
        <v>19</v>
      </c>
      <c r="T34" s="934" t="s">
        <v>1133</v>
      </c>
      <c r="U34" s="934" t="s">
        <v>1198</v>
      </c>
      <c r="V34" s="934" t="s">
        <v>1132</v>
      </c>
      <c r="W34" s="934" t="s">
        <v>1131</v>
      </c>
      <c r="X34" s="934" t="s">
        <v>1130</v>
      </c>
      <c r="Y34" s="934" t="s">
        <v>1213</v>
      </c>
      <c r="Z34" s="934" t="s">
        <v>1212</v>
      </c>
      <c r="AA34" s="936" t="s">
        <v>3875</v>
      </c>
      <c r="AB34" s="936" t="s">
        <v>3876</v>
      </c>
      <c r="AC34" s="918"/>
      <c r="AD34" s="1054" t="s">
        <v>1207</v>
      </c>
      <c r="AE34" s="1054" t="s">
        <v>1208</v>
      </c>
      <c r="AF34" s="923" t="s">
        <v>1209</v>
      </c>
    </row>
    <row r="35" spans="1:32" s="940" customFormat="1" x14ac:dyDescent="0.2">
      <c r="A35" s="937" t="str">
        <f>O28&amp;Q28</f>
        <v/>
      </c>
      <c r="B35" s="940" t="str">
        <f>IFERROR(VLOOKUP(A35,'Acct Detail'!B:AE,30,FALSE),"")</f>
        <v/>
      </c>
      <c r="C35" s="938">
        <f>I6</f>
        <v>0</v>
      </c>
      <c r="D35" s="938">
        <f>I7</f>
        <v>0</v>
      </c>
      <c r="E35" s="938">
        <f>I8</f>
        <v>0</v>
      </c>
      <c r="F35" s="938">
        <f>I9</f>
        <v>0</v>
      </c>
      <c r="G35" s="938">
        <f>I10</f>
        <v>0</v>
      </c>
      <c r="H35" s="938">
        <f>I12</f>
        <v>0</v>
      </c>
      <c r="I35" s="938">
        <f>I11</f>
        <v>0</v>
      </c>
      <c r="J35" s="938">
        <f>I28</f>
        <v>0</v>
      </c>
      <c r="K35" s="938">
        <f>I25</f>
        <v>0</v>
      </c>
      <c r="L35"/>
      <c r="M35" s="939">
        <f>ROUND('SUMMARY FORM'!L34,2)</f>
        <v>0</v>
      </c>
      <c r="N35" s="938">
        <f>H13</f>
        <v>0</v>
      </c>
      <c r="O35" s="938">
        <f>H14</f>
        <v>0</v>
      </c>
      <c r="P35" s="939">
        <f>ROUND('SUMMARY FORM'!L39,2)</f>
        <v>0</v>
      </c>
      <c r="Q35" s="938">
        <f>H15</f>
        <v>0</v>
      </c>
      <c r="R35" s="938">
        <f>H16</f>
        <v>0</v>
      </c>
      <c r="S35" s="938">
        <f>H17</f>
        <v>0</v>
      </c>
      <c r="T35" s="938">
        <f>H18</f>
        <v>0</v>
      </c>
      <c r="U35" s="938">
        <f>H19</f>
        <v>0</v>
      </c>
      <c r="V35" s="938">
        <f>H20</f>
        <v>0</v>
      </c>
      <c r="W35" s="938">
        <f>-I21</f>
        <v>0</v>
      </c>
      <c r="X35" s="938">
        <f>H22</f>
        <v>0</v>
      </c>
      <c r="Y35" s="938">
        <f>H26</f>
        <v>0</v>
      </c>
      <c r="Z35" s="938">
        <f>H27</f>
        <v>0</v>
      </c>
      <c r="AA35" s="938">
        <f>IF(H23&gt;0,H23,0)</f>
        <v>0</v>
      </c>
      <c r="AB35" s="938">
        <f>IF(H23&lt;0,H23,0)</f>
        <v>0</v>
      </c>
      <c r="AD35" s="1053">
        <f>SUM(C35:K35)</f>
        <v>0</v>
      </c>
      <c r="AE35" s="1053">
        <f>SUM(N35:O35,Q35:AB35)</f>
        <v>0</v>
      </c>
      <c r="AF35" s="1053">
        <f>AD35-AE35</f>
        <v>0</v>
      </c>
    </row>
    <row r="37" spans="1:32" x14ac:dyDescent="0.2">
      <c r="A37" s="1133"/>
      <c r="B37" s="1133"/>
      <c r="C37" s="1133"/>
      <c r="D37" s="1133"/>
      <c r="E37" s="1133"/>
      <c r="F37" s="1134"/>
      <c r="G37" s="1133"/>
      <c r="H37" s="1133"/>
      <c r="I37" s="1135"/>
      <c r="J37" s="1133"/>
      <c r="K37" s="1133"/>
      <c r="L37" s="1133"/>
      <c r="M37" s="1133"/>
      <c r="N37" s="1133"/>
      <c r="O37" s="1133"/>
      <c r="P37" s="1133"/>
      <c r="Q37" s="1133"/>
      <c r="R37" s="1133"/>
      <c r="S37" s="1133"/>
      <c r="T37" s="1133"/>
      <c r="U37" s="1133"/>
      <c r="V37" s="1133"/>
      <c r="W37" s="1133"/>
      <c r="X37" s="1133"/>
      <c r="Y37" s="1133"/>
      <c r="Z37" s="1133"/>
      <c r="AA37" s="1133"/>
      <c r="AB37" s="1133"/>
      <c r="AC37" s="1133"/>
      <c r="AD37" s="1133"/>
      <c r="AE37" s="1133"/>
    </row>
    <row r="39" spans="1:32" x14ac:dyDescent="0.2">
      <c r="F39" s="1138" t="e">
        <f>SUM(F45:F144)</f>
        <v>#VALUE!</v>
      </c>
      <c r="G39" s="1140" t="e">
        <f>SUM(G45:G144)</f>
        <v>#VALUE!</v>
      </c>
      <c r="J39" s="533"/>
      <c r="N39" s="1138" t="e">
        <f>SUM(N45:N144)</f>
        <v>#VALUE!</v>
      </c>
      <c r="O39" s="1140" t="e">
        <f>SUM(O45:O144)</f>
        <v>#VALUE!</v>
      </c>
    </row>
    <row r="40" spans="1:32" x14ac:dyDescent="0.2">
      <c r="J40" s="533"/>
    </row>
    <row r="42" spans="1:32" x14ac:dyDescent="0.2">
      <c r="A42" s="1143" t="s">
        <v>3890</v>
      </c>
      <c r="B42" s="531"/>
      <c r="C42" s="531"/>
      <c r="D42" s="531"/>
      <c r="E42" s="531"/>
      <c r="F42" s="1137"/>
      <c r="G42" s="531"/>
      <c r="H42" s="1133"/>
      <c r="I42" s="1143" t="s">
        <v>3894</v>
      </c>
      <c r="J42" s="531"/>
      <c r="K42" s="531"/>
      <c r="L42" s="531"/>
      <c r="M42" s="531"/>
      <c r="N42" s="1137"/>
      <c r="O42" s="531"/>
    </row>
    <row r="43" spans="1:32" x14ac:dyDescent="0.2">
      <c r="B43" s="11" t="s">
        <v>539</v>
      </c>
      <c r="C43" s="11" t="s">
        <v>539</v>
      </c>
      <c r="D43" s="11" t="s">
        <v>3891</v>
      </c>
      <c r="E43" s="11" t="s">
        <v>3891</v>
      </c>
      <c r="F43" s="1098" t="s">
        <v>3892</v>
      </c>
      <c r="G43" s="11" t="s">
        <v>3893</v>
      </c>
      <c r="H43" s="1133"/>
      <c r="I43"/>
      <c r="J43" s="11" t="s">
        <v>539</v>
      </c>
      <c r="K43" s="11" t="s">
        <v>539</v>
      </c>
      <c r="L43" s="11" t="s">
        <v>3891</v>
      </c>
      <c r="M43" s="11" t="s">
        <v>3891</v>
      </c>
      <c r="N43" s="1098" t="s">
        <v>3892</v>
      </c>
      <c r="O43" s="11" t="s">
        <v>3893</v>
      </c>
    </row>
    <row r="44" spans="1:32" x14ac:dyDescent="0.2">
      <c r="A44" t="s">
        <v>244</v>
      </c>
      <c r="B44" s="11" t="s">
        <v>243</v>
      </c>
      <c r="C44" s="11" t="s">
        <v>3889</v>
      </c>
      <c r="D44" s="11" t="s">
        <v>243</v>
      </c>
      <c r="E44" s="11" t="s">
        <v>3889</v>
      </c>
      <c r="F44" s="1098" t="s">
        <v>3862</v>
      </c>
      <c r="G44" s="11" t="s">
        <v>3862</v>
      </c>
      <c r="H44" s="1133"/>
      <c r="I44" t="s">
        <v>244</v>
      </c>
      <c r="J44" s="11" t="s">
        <v>243</v>
      </c>
      <c r="K44" s="11" t="s">
        <v>3889</v>
      </c>
      <c r="L44" s="11" t="s">
        <v>243</v>
      </c>
      <c r="M44" s="11" t="s">
        <v>3889</v>
      </c>
      <c r="N44" s="1098" t="s">
        <v>3862</v>
      </c>
      <c r="O44" s="11" t="s">
        <v>3862</v>
      </c>
    </row>
    <row r="45" spans="1:32" x14ac:dyDescent="0.2">
      <c r="A45" t="str">
        <f>IF('FORM E1'!B10="","",'FORM E1'!B10)</f>
        <v/>
      </c>
      <c r="B45" s="1136">
        <f>'FORM E1'!T10</f>
        <v>0</v>
      </c>
      <c r="C45" s="1139">
        <f>'FORM E1'!AB10</f>
        <v>0</v>
      </c>
      <c r="D45" s="1144" t="s">
        <v>3895</v>
      </c>
      <c r="E45" s="1142" t="s">
        <v>3896</v>
      </c>
      <c r="F45" s="1138" t="e">
        <f>B45-D45</f>
        <v>#VALUE!</v>
      </c>
      <c r="G45" s="1140" t="e">
        <f>C45-E45</f>
        <v>#VALUE!</v>
      </c>
      <c r="H45" s="1133"/>
      <c r="I45" t="str">
        <f>IF('FORM E2'!B10="","",'FORM E2'!B10)</f>
        <v/>
      </c>
      <c r="J45" s="1136">
        <f>'FORM E2'!X10</f>
        <v>0</v>
      </c>
      <c r="K45" s="1139">
        <f>'FORM E2'!AK10</f>
        <v>0</v>
      </c>
      <c r="L45" s="1141" t="s">
        <v>3897</v>
      </c>
      <c r="M45" s="1142" t="s">
        <v>3898</v>
      </c>
      <c r="N45" s="1138" t="e">
        <f>J45-L45</f>
        <v>#VALUE!</v>
      </c>
      <c r="O45" s="1140" t="e">
        <f>K45-M45</f>
        <v>#VALUE!</v>
      </c>
    </row>
    <row r="46" spans="1:32" x14ac:dyDescent="0.2">
      <c r="A46" t="str">
        <f>IF('FORM E1'!B11="","",'FORM E1'!B11)</f>
        <v/>
      </c>
      <c r="B46" s="1136">
        <f>'FORM E1'!T11</f>
        <v>0</v>
      </c>
      <c r="C46" s="1139">
        <f>'FORM E1'!AB11</f>
        <v>0</v>
      </c>
      <c r="D46" s="1141" t="s">
        <v>3895</v>
      </c>
      <c r="E46" s="1142" t="s">
        <v>3896</v>
      </c>
      <c r="F46" s="1138" t="e">
        <f t="shared" ref="F46:F109" si="0">B46-D46</f>
        <v>#VALUE!</v>
      </c>
      <c r="G46" s="1140" t="e">
        <f t="shared" ref="G46:G109" si="1">C46-E46</f>
        <v>#VALUE!</v>
      </c>
      <c r="H46" s="1133"/>
      <c r="I46" t="str">
        <f>IF('FORM E2'!B11="","",'FORM E2'!B11)</f>
        <v/>
      </c>
      <c r="J46" s="1136">
        <f>'FORM E2'!X11</f>
        <v>0</v>
      </c>
      <c r="K46" s="1139">
        <f>'FORM E2'!AK11</f>
        <v>0</v>
      </c>
      <c r="L46" s="1141" t="s">
        <v>3897</v>
      </c>
      <c r="M46" s="1142" t="s">
        <v>3898</v>
      </c>
      <c r="N46" s="1138" t="e">
        <f t="shared" ref="N46:N109" si="2">J46-L46</f>
        <v>#VALUE!</v>
      </c>
      <c r="O46" s="1140" t="e">
        <f t="shared" ref="O46:O109" si="3">K46-M46</f>
        <v>#VALUE!</v>
      </c>
    </row>
    <row r="47" spans="1:32" x14ac:dyDescent="0.2">
      <c r="A47" t="str">
        <f>IF('FORM E1'!B12="","",'FORM E1'!B12)</f>
        <v/>
      </c>
      <c r="B47" s="1136">
        <f>'FORM E1'!T12</f>
        <v>0</v>
      </c>
      <c r="C47" s="1139">
        <f>'FORM E1'!AB12</f>
        <v>0</v>
      </c>
      <c r="D47" s="1141" t="s">
        <v>3895</v>
      </c>
      <c r="E47" s="1142" t="s">
        <v>3896</v>
      </c>
      <c r="F47" s="1138" t="e">
        <f t="shared" si="0"/>
        <v>#VALUE!</v>
      </c>
      <c r="G47" s="1140" t="e">
        <f t="shared" si="1"/>
        <v>#VALUE!</v>
      </c>
      <c r="H47" s="1133"/>
      <c r="I47" t="str">
        <f>IF('FORM E2'!B12="","",'FORM E2'!B12)</f>
        <v/>
      </c>
      <c r="J47" s="1136">
        <f>'FORM E2'!X12</f>
        <v>0</v>
      </c>
      <c r="K47" s="1139">
        <f>'FORM E2'!AK12</f>
        <v>0</v>
      </c>
      <c r="L47" s="1141" t="s">
        <v>3897</v>
      </c>
      <c r="M47" s="1142" t="s">
        <v>3898</v>
      </c>
      <c r="N47" s="1138" t="e">
        <f t="shared" si="2"/>
        <v>#VALUE!</v>
      </c>
      <c r="O47" s="1140" t="e">
        <f t="shared" si="3"/>
        <v>#VALUE!</v>
      </c>
    </row>
    <row r="48" spans="1:32" x14ac:dyDescent="0.2">
      <c r="A48" t="str">
        <f>IF('FORM E1'!B13="","",'FORM E1'!B13)</f>
        <v/>
      </c>
      <c r="B48" s="1136">
        <f>'FORM E1'!T13</f>
        <v>0</v>
      </c>
      <c r="C48" s="1139">
        <f>'FORM E1'!AB13</f>
        <v>0</v>
      </c>
      <c r="D48" s="1141" t="s">
        <v>3895</v>
      </c>
      <c r="E48" s="1142" t="s">
        <v>3896</v>
      </c>
      <c r="F48" s="1138" t="e">
        <f t="shared" si="0"/>
        <v>#VALUE!</v>
      </c>
      <c r="G48" s="1140" t="e">
        <f t="shared" si="1"/>
        <v>#VALUE!</v>
      </c>
      <c r="H48" s="1133"/>
      <c r="I48" t="str">
        <f>IF('FORM E2'!B13="","",'FORM E2'!B13)</f>
        <v/>
      </c>
      <c r="J48" s="1136">
        <f>'FORM E2'!X13</f>
        <v>0</v>
      </c>
      <c r="K48" s="1139">
        <f>'FORM E2'!AK13</f>
        <v>0</v>
      </c>
      <c r="L48" s="1141" t="s">
        <v>3897</v>
      </c>
      <c r="M48" s="1142" t="s">
        <v>3898</v>
      </c>
      <c r="N48" s="1138" t="e">
        <f t="shared" si="2"/>
        <v>#VALUE!</v>
      </c>
      <c r="O48" s="1140" t="e">
        <f t="shared" si="3"/>
        <v>#VALUE!</v>
      </c>
    </row>
    <row r="49" spans="1:15" x14ac:dyDescent="0.2">
      <c r="A49" t="str">
        <f>IF('FORM E1'!B14="","",'FORM E1'!B14)</f>
        <v/>
      </c>
      <c r="B49" s="1136">
        <f>'FORM E1'!T14</f>
        <v>0</v>
      </c>
      <c r="C49" s="1139">
        <f>'FORM E1'!AB14</f>
        <v>0</v>
      </c>
      <c r="D49" s="1141" t="s">
        <v>3895</v>
      </c>
      <c r="E49" s="1142" t="s">
        <v>3896</v>
      </c>
      <c r="F49" s="1138" t="e">
        <f t="shared" si="0"/>
        <v>#VALUE!</v>
      </c>
      <c r="G49" s="1140" t="e">
        <f t="shared" si="1"/>
        <v>#VALUE!</v>
      </c>
      <c r="H49" s="1133"/>
      <c r="I49" t="str">
        <f>IF('FORM E2'!B14="","",'FORM E2'!B14)</f>
        <v/>
      </c>
      <c r="J49" s="1136">
        <f>'FORM E2'!X14</f>
        <v>0</v>
      </c>
      <c r="K49" s="1139">
        <f>'FORM E2'!AK14</f>
        <v>0</v>
      </c>
      <c r="L49" s="1141" t="s">
        <v>3897</v>
      </c>
      <c r="M49" s="1142" t="s">
        <v>3898</v>
      </c>
      <c r="N49" s="1138" t="e">
        <f t="shared" si="2"/>
        <v>#VALUE!</v>
      </c>
      <c r="O49" s="1140" t="e">
        <f t="shared" si="3"/>
        <v>#VALUE!</v>
      </c>
    </row>
    <row r="50" spans="1:15" x14ac:dyDescent="0.2">
      <c r="A50" t="str">
        <f>IF('FORM E1'!B15="","",'FORM E1'!B15)</f>
        <v/>
      </c>
      <c r="B50" s="1136">
        <f>'FORM E1'!T15</f>
        <v>0</v>
      </c>
      <c r="C50" s="1139">
        <f>'FORM E1'!AB15</f>
        <v>0</v>
      </c>
      <c r="D50" s="1141" t="s">
        <v>3895</v>
      </c>
      <c r="E50" s="1142" t="s">
        <v>3896</v>
      </c>
      <c r="F50" s="1138" t="e">
        <f t="shared" si="0"/>
        <v>#VALUE!</v>
      </c>
      <c r="G50" s="1140" t="e">
        <f t="shared" si="1"/>
        <v>#VALUE!</v>
      </c>
      <c r="H50" s="1133"/>
      <c r="I50" t="str">
        <f>IF('FORM E2'!B15="","",'FORM E2'!B15)</f>
        <v/>
      </c>
      <c r="J50" s="1136">
        <f>'FORM E2'!X15</f>
        <v>0</v>
      </c>
      <c r="K50" s="1139">
        <f>'FORM E2'!AK15</f>
        <v>0</v>
      </c>
      <c r="L50" s="1141" t="s">
        <v>3897</v>
      </c>
      <c r="M50" s="1142" t="s">
        <v>3898</v>
      </c>
      <c r="N50" s="1138" t="e">
        <f t="shared" si="2"/>
        <v>#VALUE!</v>
      </c>
      <c r="O50" s="1140" t="e">
        <f t="shared" si="3"/>
        <v>#VALUE!</v>
      </c>
    </row>
    <row r="51" spans="1:15" x14ac:dyDescent="0.2">
      <c r="A51" t="str">
        <f>IF('FORM E1'!B16="","",'FORM E1'!B16)</f>
        <v/>
      </c>
      <c r="B51" s="1136">
        <f>'FORM E1'!T16</f>
        <v>0</v>
      </c>
      <c r="C51" s="1139">
        <f>'FORM E1'!AB16</f>
        <v>0</v>
      </c>
      <c r="D51" s="1141" t="s">
        <v>3895</v>
      </c>
      <c r="E51" s="1142" t="s">
        <v>3896</v>
      </c>
      <c r="F51" s="1138" t="e">
        <f t="shared" si="0"/>
        <v>#VALUE!</v>
      </c>
      <c r="G51" s="1140" t="e">
        <f t="shared" si="1"/>
        <v>#VALUE!</v>
      </c>
      <c r="H51" s="1133"/>
      <c r="I51" t="str">
        <f>IF('FORM E2'!B16="","",'FORM E2'!B16)</f>
        <v/>
      </c>
      <c r="J51" s="1136">
        <f>'FORM E2'!X16</f>
        <v>0</v>
      </c>
      <c r="K51" s="1139">
        <f>'FORM E2'!AK16</f>
        <v>0</v>
      </c>
      <c r="L51" s="1141" t="s">
        <v>3897</v>
      </c>
      <c r="M51" s="1142" t="s">
        <v>3898</v>
      </c>
      <c r="N51" s="1138" t="e">
        <f t="shared" si="2"/>
        <v>#VALUE!</v>
      </c>
      <c r="O51" s="1140" t="e">
        <f t="shared" si="3"/>
        <v>#VALUE!</v>
      </c>
    </row>
    <row r="52" spans="1:15" x14ac:dyDescent="0.2">
      <c r="A52" t="str">
        <f>IF('FORM E1'!B17="","",'FORM E1'!B17)</f>
        <v/>
      </c>
      <c r="B52" s="1136">
        <f>'FORM E1'!T17</f>
        <v>0</v>
      </c>
      <c r="C52" s="1139">
        <f>'FORM E1'!AB17</f>
        <v>0</v>
      </c>
      <c r="D52" s="1141" t="s">
        <v>3895</v>
      </c>
      <c r="E52" s="1142" t="s">
        <v>3896</v>
      </c>
      <c r="F52" s="1138" t="e">
        <f t="shared" si="0"/>
        <v>#VALUE!</v>
      </c>
      <c r="G52" s="1140" t="e">
        <f t="shared" si="1"/>
        <v>#VALUE!</v>
      </c>
      <c r="H52" s="1133"/>
      <c r="I52" t="str">
        <f>IF('FORM E2'!B17="","",'FORM E2'!B17)</f>
        <v/>
      </c>
      <c r="J52" s="1136">
        <f>'FORM E2'!X17</f>
        <v>0</v>
      </c>
      <c r="K52" s="1139">
        <f>'FORM E2'!AK17</f>
        <v>0</v>
      </c>
      <c r="L52" s="1141" t="s">
        <v>3897</v>
      </c>
      <c r="M52" s="1142" t="s">
        <v>3898</v>
      </c>
      <c r="N52" s="1138" t="e">
        <f t="shared" si="2"/>
        <v>#VALUE!</v>
      </c>
      <c r="O52" s="1140" t="e">
        <f t="shared" si="3"/>
        <v>#VALUE!</v>
      </c>
    </row>
    <row r="53" spans="1:15" x14ac:dyDescent="0.2">
      <c r="A53" t="str">
        <f>IF('FORM E1'!B18="","",'FORM E1'!B18)</f>
        <v/>
      </c>
      <c r="B53" s="1136">
        <f>'FORM E1'!T18</f>
        <v>0</v>
      </c>
      <c r="C53" s="1139">
        <f>'FORM E1'!AB18</f>
        <v>0</v>
      </c>
      <c r="D53" s="1141" t="s">
        <v>3895</v>
      </c>
      <c r="E53" s="1142" t="s">
        <v>3896</v>
      </c>
      <c r="F53" s="1138" t="e">
        <f t="shared" si="0"/>
        <v>#VALUE!</v>
      </c>
      <c r="G53" s="1140" t="e">
        <f t="shared" si="1"/>
        <v>#VALUE!</v>
      </c>
      <c r="H53" s="1133"/>
      <c r="I53" t="str">
        <f>IF('FORM E2'!B18="","",'FORM E2'!B18)</f>
        <v/>
      </c>
      <c r="J53" s="1136">
        <f>'FORM E2'!X18</f>
        <v>0</v>
      </c>
      <c r="K53" s="1139">
        <f>'FORM E2'!AK18</f>
        <v>0</v>
      </c>
      <c r="L53" s="1141" t="s">
        <v>3897</v>
      </c>
      <c r="M53" s="1142" t="s">
        <v>3898</v>
      </c>
      <c r="N53" s="1138" t="e">
        <f t="shared" si="2"/>
        <v>#VALUE!</v>
      </c>
      <c r="O53" s="1140" t="e">
        <f t="shared" si="3"/>
        <v>#VALUE!</v>
      </c>
    </row>
    <row r="54" spans="1:15" x14ac:dyDescent="0.2">
      <c r="A54" t="str">
        <f>IF('FORM E1'!B19="","",'FORM E1'!B19)</f>
        <v/>
      </c>
      <c r="B54" s="1136">
        <f>'FORM E1'!T19</f>
        <v>0</v>
      </c>
      <c r="C54" s="1139">
        <f>'FORM E1'!AB19</f>
        <v>0</v>
      </c>
      <c r="D54" s="1141" t="s">
        <v>3895</v>
      </c>
      <c r="E54" s="1142" t="s">
        <v>3896</v>
      </c>
      <c r="F54" s="1138" t="e">
        <f t="shared" si="0"/>
        <v>#VALUE!</v>
      </c>
      <c r="G54" s="1140" t="e">
        <f t="shared" si="1"/>
        <v>#VALUE!</v>
      </c>
      <c r="H54" s="1133"/>
      <c r="I54" t="str">
        <f>IF('FORM E2'!B19="","",'FORM E2'!B19)</f>
        <v/>
      </c>
      <c r="J54" s="1136">
        <f>'FORM E2'!X19</f>
        <v>0</v>
      </c>
      <c r="K54" s="1139">
        <f>'FORM E2'!AK19</f>
        <v>0</v>
      </c>
      <c r="L54" s="1141" t="s">
        <v>3897</v>
      </c>
      <c r="M54" s="1142" t="s">
        <v>3898</v>
      </c>
      <c r="N54" s="1138" t="e">
        <f t="shared" si="2"/>
        <v>#VALUE!</v>
      </c>
      <c r="O54" s="1140" t="e">
        <f t="shared" si="3"/>
        <v>#VALUE!</v>
      </c>
    </row>
    <row r="55" spans="1:15" x14ac:dyDescent="0.2">
      <c r="A55" t="str">
        <f>IF('FORM E1'!B20="","",'FORM E1'!B20)</f>
        <v/>
      </c>
      <c r="B55" s="1136">
        <f>'FORM E1'!T20</f>
        <v>0</v>
      </c>
      <c r="C55" s="1139">
        <f>'FORM E1'!AB20</f>
        <v>0</v>
      </c>
      <c r="D55" s="1141" t="s">
        <v>3895</v>
      </c>
      <c r="E55" s="1142" t="s">
        <v>3896</v>
      </c>
      <c r="F55" s="1138" t="e">
        <f t="shared" si="0"/>
        <v>#VALUE!</v>
      </c>
      <c r="G55" s="1140" t="e">
        <f t="shared" si="1"/>
        <v>#VALUE!</v>
      </c>
      <c r="H55" s="1133"/>
      <c r="I55" t="str">
        <f>IF('FORM E2'!B20="","",'FORM E2'!B20)</f>
        <v/>
      </c>
      <c r="J55" s="1136">
        <f>'FORM E2'!X20</f>
        <v>0</v>
      </c>
      <c r="K55" s="1139">
        <f>'FORM E2'!AK20</f>
        <v>0</v>
      </c>
      <c r="L55" s="1141" t="s">
        <v>3897</v>
      </c>
      <c r="M55" s="1142" t="s">
        <v>3898</v>
      </c>
      <c r="N55" s="1138" t="e">
        <f t="shared" si="2"/>
        <v>#VALUE!</v>
      </c>
      <c r="O55" s="1140" t="e">
        <f t="shared" si="3"/>
        <v>#VALUE!</v>
      </c>
    </row>
    <row r="56" spans="1:15" x14ac:dyDescent="0.2">
      <c r="A56" t="str">
        <f>IF('FORM E1'!B21="","",'FORM E1'!B21)</f>
        <v/>
      </c>
      <c r="B56" s="1136">
        <f>'FORM E1'!T21</f>
        <v>0</v>
      </c>
      <c r="C56" s="1139">
        <f>'FORM E1'!AB21</f>
        <v>0</v>
      </c>
      <c r="D56" s="1141" t="s">
        <v>3895</v>
      </c>
      <c r="E56" s="1142" t="s">
        <v>3896</v>
      </c>
      <c r="F56" s="1138" t="e">
        <f t="shared" si="0"/>
        <v>#VALUE!</v>
      </c>
      <c r="G56" s="1140" t="e">
        <f t="shared" si="1"/>
        <v>#VALUE!</v>
      </c>
      <c r="H56" s="1133"/>
      <c r="I56" t="str">
        <f>IF('FORM E2'!B21="","",'FORM E2'!B21)</f>
        <v/>
      </c>
      <c r="J56" s="1136">
        <f>'FORM E2'!X21</f>
        <v>0</v>
      </c>
      <c r="K56" s="1139">
        <f>'FORM E2'!AK21</f>
        <v>0</v>
      </c>
      <c r="L56" s="1141" t="s">
        <v>3897</v>
      </c>
      <c r="M56" s="1142" t="s">
        <v>3898</v>
      </c>
      <c r="N56" s="1138" t="e">
        <f t="shared" si="2"/>
        <v>#VALUE!</v>
      </c>
      <c r="O56" s="1140" t="e">
        <f t="shared" si="3"/>
        <v>#VALUE!</v>
      </c>
    </row>
    <row r="57" spans="1:15" x14ac:dyDescent="0.2">
      <c r="A57" t="str">
        <f>IF('FORM E1'!B22="","",'FORM E1'!B22)</f>
        <v/>
      </c>
      <c r="B57" s="1136">
        <f>'FORM E1'!T22</f>
        <v>0</v>
      </c>
      <c r="C57" s="1139">
        <f>'FORM E1'!AB22</f>
        <v>0</v>
      </c>
      <c r="D57" s="1141" t="s">
        <v>3895</v>
      </c>
      <c r="E57" s="1142" t="s">
        <v>3896</v>
      </c>
      <c r="F57" s="1138" t="e">
        <f t="shared" si="0"/>
        <v>#VALUE!</v>
      </c>
      <c r="G57" s="1140" t="e">
        <f t="shared" si="1"/>
        <v>#VALUE!</v>
      </c>
      <c r="H57" s="1133"/>
      <c r="I57" t="str">
        <f>IF('FORM E2'!B22="","",'FORM E2'!B22)</f>
        <v/>
      </c>
      <c r="J57" s="1136">
        <f>'FORM E2'!X22</f>
        <v>0</v>
      </c>
      <c r="K57" s="1139">
        <f>'FORM E2'!AK22</f>
        <v>0</v>
      </c>
      <c r="L57" s="1141" t="s">
        <v>3897</v>
      </c>
      <c r="M57" s="1142" t="s">
        <v>3898</v>
      </c>
      <c r="N57" s="1138" t="e">
        <f t="shared" si="2"/>
        <v>#VALUE!</v>
      </c>
      <c r="O57" s="1140" t="e">
        <f t="shared" si="3"/>
        <v>#VALUE!</v>
      </c>
    </row>
    <row r="58" spans="1:15" x14ac:dyDescent="0.2">
      <c r="A58" t="str">
        <f>IF('FORM E1'!B23="","",'FORM E1'!B23)</f>
        <v/>
      </c>
      <c r="B58" s="1136">
        <f>'FORM E1'!T23</f>
        <v>0</v>
      </c>
      <c r="C58" s="1139">
        <f>'FORM E1'!AB23</f>
        <v>0</v>
      </c>
      <c r="D58" s="1141" t="s">
        <v>3895</v>
      </c>
      <c r="E58" s="1142" t="s">
        <v>3896</v>
      </c>
      <c r="F58" s="1138" t="e">
        <f t="shared" si="0"/>
        <v>#VALUE!</v>
      </c>
      <c r="G58" s="1140" t="e">
        <f t="shared" si="1"/>
        <v>#VALUE!</v>
      </c>
      <c r="H58" s="1133"/>
      <c r="I58" t="str">
        <f>IF('FORM E2'!B23="","",'FORM E2'!B23)</f>
        <v/>
      </c>
      <c r="J58" s="1136">
        <f>'FORM E2'!X23</f>
        <v>0</v>
      </c>
      <c r="K58" s="1139">
        <f>'FORM E2'!AK23</f>
        <v>0</v>
      </c>
      <c r="L58" s="1141" t="s">
        <v>3897</v>
      </c>
      <c r="M58" s="1142" t="s">
        <v>3898</v>
      </c>
      <c r="N58" s="1138" t="e">
        <f t="shared" si="2"/>
        <v>#VALUE!</v>
      </c>
      <c r="O58" s="1140" t="e">
        <f t="shared" si="3"/>
        <v>#VALUE!</v>
      </c>
    </row>
    <row r="59" spans="1:15" x14ac:dyDescent="0.2">
      <c r="A59" t="str">
        <f>IF('FORM E1'!B24="","",'FORM E1'!B24)</f>
        <v/>
      </c>
      <c r="B59" s="1136">
        <f>'FORM E1'!T24</f>
        <v>0</v>
      </c>
      <c r="C59" s="1139">
        <f>'FORM E1'!AB24</f>
        <v>0</v>
      </c>
      <c r="D59" s="1141" t="s">
        <v>3895</v>
      </c>
      <c r="E59" s="1142" t="s">
        <v>3896</v>
      </c>
      <c r="F59" s="1138" t="e">
        <f t="shared" si="0"/>
        <v>#VALUE!</v>
      </c>
      <c r="G59" s="1140" t="e">
        <f t="shared" si="1"/>
        <v>#VALUE!</v>
      </c>
      <c r="H59" s="1133"/>
      <c r="I59" t="str">
        <f>IF('FORM E2'!B24="","",'FORM E2'!B24)</f>
        <v/>
      </c>
      <c r="J59" s="1136">
        <f>'FORM E2'!X24</f>
        <v>0</v>
      </c>
      <c r="K59" s="1139">
        <f>'FORM E2'!AK24</f>
        <v>0</v>
      </c>
      <c r="L59" s="1141" t="s">
        <v>3897</v>
      </c>
      <c r="M59" s="1142" t="s">
        <v>3898</v>
      </c>
      <c r="N59" s="1138" t="e">
        <f t="shared" si="2"/>
        <v>#VALUE!</v>
      </c>
      <c r="O59" s="1140" t="e">
        <f t="shared" si="3"/>
        <v>#VALUE!</v>
      </c>
    </row>
    <row r="60" spans="1:15" x14ac:dyDescent="0.2">
      <c r="A60" t="str">
        <f>IF('FORM E1'!B25="","",'FORM E1'!B25)</f>
        <v/>
      </c>
      <c r="B60" s="1136">
        <f>'FORM E1'!T25</f>
        <v>0</v>
      </c>
      <c r="C60" s="1139">
        <f>'FORM E1'!AB25</f>
        <v>0</v>
      </c>
      <c r="D60" s="1141" t="s">
        <v>3895</v>
      </c>
      <c r="E60" s="1142" t="s">
        <v>3896</v>
      </c>
      <c r="F60" s="1138" t="e">
        <f t="shared" si="0"/>
        <v>#VALUE!</v>
      </c>
      <c r="G60" s="1140" t="e">
        <f t="shared" si="1"/>
        <v>#VALUE!</v>
      </c>
      <c r="H60" s="1133"/>
      <c r="I60" t="str">
        <f>IF('FORM E2'!B25="","",'FORM E2'!B25)</f>
        <v/>
      </c>
      <c r="J60" s="1136">
        <f>'FORM E2'!X25</f>
        <v>0</v>
      </c>
      <c r="K60" s="1139">
        <f>'FORM E2'!AK25</f>
        <v>0</v>
      </c>
      <c r="L60" s="1141" t="s">
        <v>3897</v>
      </c>
      <c r="M60" s="1142" t="s">
        <v>3898</v>
      </c>
      <c r="N60" s="1138" t="e">
        <f t="shared" si="2"/>
        <v>#VALUE!</v>
      </c>
      <c r="O60" s="1140" t="e">
        <f t="shared" si="3"/>
        <v>#VALUE!</v>
      </c>
    </row>
    <row r="61" spans="1:15" x14ac:dyDescent="0.2">
      <c r="A61" t="str">
        <f>IF('FORM E1'!B26="","",'FORM E1'!B26)</f>
        <v/>
      </c>
      <c r="B61" s="1136">
        <f>'FORM E1'!T26</f>
        <v>0</v>
      </c>
      <c r="C61" s="1139">
        <f>'FORM E1'!AB26</f>
        <v>0</v>
      </c>
      <c r="D61" s="1141" t="s">
        <v>3895</v>
      </c>
      <c r="E61" s="1142" t="s">
        <v>3896</v>
      </c>
      <c r="F61" s="1138" t="e">
        <f t="shared" si="0"/>
        <v>#VALUE!</v>
      </c>
      <c r="G61" s="1140" t="e">
        <f t="shared" si="1"/>
        <v>#VALUE!</v>
      </c>
      <c r="H61" s="1133"/>
      <c r="I61" t="str">
        <f>IF('FORM E2'!B26="","",'FORM E2'!B26)</f>
        <v/>
      </c>
      <c r="J61" s="1136">
        <f>'FORM E2'!X26</f>
        <v>0</v>
      </c>
      <c r="K61" s="1139">
        <f>'FORM E2'!AK26</f>
        <v>0</v>
      </c>
      <c r="L61" s="1141" t="s">
        <v>3897</v>
      </c>
      <c r="M61" s="1142" t="s">
        <v>3898</v>
      </c>
      <c r="N61" s="1138" t="e">
        <f t="shared" si="2"/>
        <v>#VALUE!</v>
      </c>
      <c r="O61" s="1140" t="e">
        <f t="shared" si="3"/>
        <v>#VALUE!</v>
      </c>
    </row>
    <row r="62" spans="1:15" x14ac:dyDescent="0.2">
      <c r="A62" t="str">
        <f>IF('FORM E1'!B27="","",'FORM E1'!B27)</f>
        <v/>
      </c>
      <c r="B62" s="1136">
        <f>'FORM E1'!T27</f>
        <v>0</v>
      </c>
      <c r="C62" s="1139">
        <f>'FORM E1'!AB27</f>
        <v>0</v>
      </c>
      <c r="D62" s="1141" t="s">
        <v>3895</v>
      </c>
      <c r="E62" s="1142" t="s">
        <v>3896</v>
      </c>
      <c r="F62" s="1138" t="e">
        <f t="shared" si="0"/>
        <v>#VALUE!</v>
      </c>
      <c r="G62" s="1140" t="e">
        <f t="shared" si="1"/>
        <v>#VALUE!</v>
      </c>
      <c r="H62" s="1133"/>
      <c r="I62" t="str">
        <f>IF('FORM E2'!B27="","",'FORM E2'!B27)</f>
        <v/>
      </c>
      <c r="J62" s="1136">
        <f>'FORM E2'!X27</f>
        <v>0</v>
      </c>
      <c r="K62" s="1139">
        <f>'FORM E2'!AK27</f>
        <v>0</v>
      </c>
      <c r="L62" s="1141" t="s">
        <v>3897</v>
      </c>
      <c r="M62" s="1142" t="s">
        <v>3898</v>
      </c>
      <c r="N62" s="1138" t="e">
        <f t="shared" si="2"/>
        <v>#VALUE!</v>
      </c>
      <c r="O62" s="1140" t="e">
        <f t="shared" si="3"/>
        <v>#VALUE!</v>
      </c>
    </row>
    <row r="63" spans="1:15" x14ac:dyDescent="0.2">
      <c r="A63" t="str">
        <f>IF('FORM E1'!B28="","",'FORM E1'!B28)</f>
        <v/>
      </c>
      <c r="B63" s="1136">
        <f>'FORM E1'!T28</f>
        <v>0</v>
      </c>
      <c r="C63" s="1139">
        <f>'FORM E1'!AB28</f>
        <v>0</v>
      </c>
      <c r="D63" s="1141" t="s">
        <v>3895</v>
      </c>
      <c r="E63" s="1142" t="s">
        <v>3896</v>
      </c>
      <c r="F63" s="1138" t="e">
        <f t="shared" si="0"/>
        <v>#VALUE!</v>
      </c>
      <c r="G63" s="1140" t="e">
        <f t="shared" si="1"/>
        <v>#VALUE!</v>
      </c>
      <c r="H63" s="1133"/>
      <c r="I63" t="str">
        <f>IF('FORM E2'!B28="","",'FORM E2'!B28)</f>
        <v/>
      </c>
      <c r="J63" s="1136">
        <f>'FORM E2'!X28</f>
        <v>0</v>
      </c>
      <c r="K63" s="1139">
        <f>'FORM E2'!AK28</f>
        <v>0</v>
      </c>
      <c r="L63" s="1141" t="s">
        <v>3897</v>
      </c>
      <c r="M63" s="1142" t="s">
        <v>3898</v>
      </c>
      <c r="N63" s="1138" t="e">
        <f t="shared" si="2"/>
        <v>#VALUE!</v>
      </c>
      <c r="O63" s="1140" t="e">
        <f t="shared" si="3"/>
        <v>#VALUE!</v>
      </c>
    </row>
    <row r="64" spans="1:15" x14ac:dyDescent="0.2">
      <c r="A64" t="str">
        <f>IF('FORM E1'!B29="","",'FORM E1'!B29)</f>
        <v/>
      </c>
      <c r="B64" s="1136">
        <f>'FORM E1'!T29</f>
        <v>0</v>
      </c>
      <c r="C64" s="1139">
        <f>'FORM E1'!AB29</f>
        <v>0</v>
      </c>
      <c r="D64" s="1141" t="s">
        <v>3895</v>
      </c>
      <c r="E64" s="1142" t="s">
        <v>3896</v>
      </c>
      <c r="F64" s="1138" t="e">
        <f t="shared" si="0"/>
        <v>#VALUE!</v>
      </c>
      <c r="G64" s="1140" t="e">
        <f t="shared" si="1"/>
        <v>#VALUE!</v>
      </c>
      <c r="H64" s="1133"/>
      <c r="I64" t="str">
        <f>IF('FORM E2'!B29="","",'FORM E2'!B29)</f>
        <v/>
      </c>
      <c r="J64" s="1136">
        <f>'FORM E2'!X29</f>
        <v>0</v>
      </c>
      <c r="K64" s="1139">
        <f>'FORM E2'!AK29</f>
        <v>0</v>
      </c>
      <c r="L64" s="1141" t="s">
        <v>3897</v>
      </c>
      <c r="M64" s="1142" t="s">
        <v>3898</v>
      </c>
      <c r="N64" s="1138" t="e">
        <f t="shared" si="2"/>
        <v>#VALUE!</v>
      </c>
      <c r="O64" s="1140" t="e">
        <f t="shared" si="3"/>
        <v>#VALUE!</v>
      </c>
    </row>
    <row r="65" spans="1:15" x14ac:dyDescent="0.2">
      <c r="A65" t="str">
        <f>IF('FORM E1'!B30="","",'FORM E1'!B30)</f>
        <v/>
      </c>
      <c r="B65" s="1136">
        <f>'FORM E1'!T30</f>
        <v>0</v>
      </c>
      <c r="C65" s="1139">
        <f>'FORM E1'!AB30</f>
        <v>0</v>
      </c>
      <c r="D65" s="1141" t="s">
        <v>3895</v>
      </c>
      <c r="E65" s="1142" t="s">
        <v>3896</v>
      </c>
      <c r="F65" s="1138" t="e">
        <f t="shared" si="0"/>
        <v>#VALUE!</v>
      </c>
      <c r="G65" s="1140" t="e">
        <f t="shared" si="1"/>
        <v>#VALUE!</v>
      </c>
      <c r="H65" s="1133"/>
      <c r="I65" t="str">
        <f>IF('FORM E2'!B30="","",'FORM E2'!B30)</f>
        <v/>
      </c>
      <c r="J65" s="1136">
        <f>'FORM E2'!X30</f>
        <v>0</v>
      </c>
      <c r="K65" s="1139">
        <f>'FORM E2'!AK30</f>
        <v>0</v>
      </c>
      <c r="L65" s="1141" t="s">
        <v>3897</v>
      </c>
      <c r="M65" s="1142" t="s">
        <v>3898</v>
      </c>
      <c r="N65" s="1138" t="e">
        <f t="shared" si="2"/>
        <v>#VALUE!</v>
      </c>
      <c r="O65" s="1140" t="e">
        <f t="shared" si="3"/>
        <v>#VALUE!</v>
      </c>
    </row>
    <row r="66" spans="1:15" x14ac:dyDescent="0.2">
      <c r="A66" t="str">
        <f>IF('FORM E1'!B31="","",'FORM E1'!B31)</f>
        <v/>
      </c>
      <c r="B66" s="1136">
        <f>'FORM E1'!T31</f>
        <v>0</v>
      </c>
      <c r="C66" s="1139">
        <f>'FORM E1'!AB31</f>
        <v>0</v>
      </c>
      <c r="D66" s="1141" t="s">
        <v>3895</v>
      </c>
      <c r="E66" s="1142" t="s">
        <v>3896</v>
      </c>
      <c r="F66" s="1138" t="e">
        <f t="shared" si="0"/>
        <v>#VALUE!</v>
      </c>
      <c r="G66" s="1140" t="e">
        <f t="shared" si="1"/>
        <v>#VALUE!</v>
      </c>
      <c r="H66" s="1133"/>
      <c r="I66" t="str">
        <f>IF('FORM E2'!B31="","",'FORM E2'!B31)</f>
        <v/>
      </c>
      <c r="J66" s="1136">
        <f>'FORM E2'!X31</f>
        <v>0</v>
      </c>
      <c r="K66" s="1139">
        <f>'FORM E2'!AK31</f>
        <v>0</v>
      </c>
      <c r="L66" s="1141" t="s">
        <v>3897</v>
      </c>
      <c r="M66" s="1142" t="s">
        <v>3898</v>
      </c>
      <c r="N66" s="1138" t="e">
        <f t="shared" si="2"/>
        <v>#VALUE!</v>
      </c>
      <c r="O66" s="1140" t="e">
        <f t="shared" si="3"/>
        <v>#VALUE!</v>
      </c>
    </row>
    <row r="67" spans="1:15" x14ac:dyDescent="0.2">
      <c r="A67" t="str">
        <f>IF('FORM E1'!B32="","",'FORM E1'!B32)</f>
        <v/>
      </c>
      <c r="B67" s="1136">
        <f>'FORM E1'!T32</f>
        <v>0</v>
      </c>
      <c r="C67" s="1139">
        <f>'FORM E1'!AB32</f>
        <v>0</v>
      </c>
      <c r="D67" s="1141" t="s">
        <v>3895</v>
      </c>
      <c r="E67" s="1142" t="s">
        <v>3896</v>
      </c>
      <c r="F67" s="1138" t="e">
        <f t="shared" si="0"/>
        <v>#VALUE!</v>
      </c>
      <c r="G67" s="1140" t="e">
        <f t="shared" si="1"/>
        <v>#VALUE!</v>
      </c>
      <c r="H67" s="1133"/>
      <c r="I67" t="str">
        <f>IF('FORM E2'!B32="","",'FORM E2'!B32)</f>
        <v/>
      </c>
      <c r="J67" s="1136">
        <f>'FORM E2'!X32</f>
        <v>0</v>
      </c>
      <c r="K67" s="1139">
        <f>'FORM E2'!AK32</f>
        <v>0</v>
      </c>
      <c r="L67" s="1141" t="s">
        <v>3897</v>
      </c>
      <c r="M67" s="1142" t="s">
        <v>3898</v>
      </c>
      <c r="N67" s="1138" t="e">
        <f t="shared" si="2"/>
        <v>#VALUE!</v>
      </c>
      <c r="O67" s="1140" t="e">
        <f t="shared" si="3"/>
        <v>#VALUE!</v>
      </c>
    </row>
    <row r="68" spans="1:15" x14ac:dyDescent="0.2">
      <c r="A68" t="str">
        <f>IF('FORM E1'!B33="","",'FORM E1'!B33)</f>
        <v/>
      </c>
      <c r="B68" s="1136">
        <f>'FORM E1'!T33</f>
        <v>0</v>
      </c>
      <c r="C68" s="1139">
        <f>'FORM E1'!AB33</f>
        <v>0</v>
      </c>
      <c r="D68" s="1141" t="s">
        <v>3895</v>
      </c>
      <c r="E68" s="1142" t="s">
        <v>3896</v>
      </c>
      <c r="F68" s="1138" t="e">
        <f t="shared" si="0"/>
        <v>#VALUE!</v>
      </c>
      <c r="G68" s="1140" t="e">
        <f t="shared" si="1"/>
        <v>#VALUE!</v>
      </c>
      <c r="H68" s="1133"/>
      <c r="I68" t="str">
        <f>IF('FORM E2'!B33="","",'FORM E2'!B33)</f>
        <v/>
      </c>
      <c r="J68" s="1136">
        <f>'FORM E2'!X33</f>
        <v>0</v>
      </c>
      <c r="K68" s="1139">
        <f>'FORM E2'!AK33</f>
        <v>0</v>
      </c>
      <c r="L68" s="1141" t="s">
        <v>3897</v>
      </c>
      <c r="M68" s="1142" t="s">
        <v>3898</v>
      </c>
      <c r="N68" s="1138" t="e">
        <f t="shared" si="2"/>
        <v>#VALUE!</v>
      </c>
      <c r="O68" s="1140" t="e">
        <f t="shared" si="3"/>
        <v>#VALUE!</v>
      </c>
    </row>
    <row r="69" spans="1:15" x14ac:dyDescent="0.2">
      <c r="A69" t="str">
        <f>IF('FORM E1'!B34="","",'FORM E1'!B34)</f>
        <v/>
      </c>
      <c r="B69" s="1136">
        <f>'FORM E1'!T34</f>
        <v>0</v>
      </c>
      <c r="C69" s="1139">
        <f>'FORM E1'!AB34</f>
        <v>0</v>
      </c>
      <c r="D69" s="1141" t="s">
        <v>3895</v>
      </c>
      <c r="E69" s="1142" t="s">
        <v>3896</v>
      </c>
      <c r="F69" s="1138" t="e">
        <f t="shared" si="0"/>
        <v>#VALUE!</v>
      </c>
      <c r="G69" s="1140" t="e">
        <f t="shared" si="1"/>
        <v>#VALUE!</v>
      </c>
      <c r="H69" s="1133"/>
      <c r="I69" t="str">
        <f>IF('FORM E2'!B34="","",'FORM E2'!B34)</f>
        <v/>
      </c>
      <c r="J69" s="1136">
        <f>'FORM E2'!X34</f>
        <v>0</v>
      </c>
      <c r="K69" s="1139">
        <f>'FORM E2'!AK34</f>
        <v>0</v>
      </c>
      <c r="L69" s="1141" t="s">
        <v>3897</v>
      </c>
      <c r="M69" s="1142" t="s">
        <v>3898</v>
      </c>
      <c r="N69" s="1138" t="e">
        <f t="shared" si="2"/>
        <v>#VALUE!</v>
      </c>
      <c r="O69" s="1140" t="e">
        <f t="shared" si="3"/>
        <v>#VALUE!</v>
      </c>
    </row>
    <row r="70" spans="1:15" x14ac:dyDescent="0.2">
      <c r="A70" t="str">
        <f>IF('FORM E1'!B35="","",'FORM E1'!B35)</f>
        <v/>
      </c>
      <c r="B70" s="1136">
        <f>'FORM E1'!T35</f>
        <v>0</v>
      </c>
      <c r="C70" s="1139">
        <f>'FORM E1'!AB35</f>
        <v>0</v>
      </c>
      <c r="D70" s="1141" t="s">
        <v>3895</v>
      </c>
      <c r="E70" s="1142" t="s">
        <v>3896</v>
      </c>
      <c r="F70" s="1138" t="e">
        <f t="shared" si="0"/>
        <v>#VALUE!</v>
      </c>
      <c r="G70" s="1140" t="e">
        <f t="shared" si="1"/>
        <v>#VALUE!</v>
      </c>
      <c r="H70" s="1133"/>
      <c r="I70" t="str">
        <f>IF('FORM E2'!B35="","",'FORM E2'!B35)</f>
        <v/>
      </c>
      <c r="J70" s="1136">
        <f>'FORM E2'!X35</f>
        <v>0</v>
      </c>
      <c r="K70" s="1139">
        <f>'FORM E2'!AK35</f>
        <v>0</v>
      </c>
      <c r="L70" s="1141" t="s">
        <v>3897</v>
      </c>
      <c r="M70" s="1142" t="s">
        <v>3898</v>
      </c>
      <c r="N70" s="1138" t="e">
        <f t="shared" si="2"/>
        <v>#VALUE!</v>
      </c>
      <c r="O70" s="1140" t="e">
        <f t="shared" si="3"/>
        <v>#VALUE!</v>
      </c>
    </row>
    <row r="71" spans="1:15" x14ac:dyDescent="0.2">
      <c r="A71" t="str">
        <f>IF('FORM E1'!B36="","",'FORM E1'!B36)</f>
        <v/>
      </c>
      <c r="B71" s="1136">
        <f>'FORM E1'!T36</f>
        <v>0</v>
      </c>
      <c r="C71" s="1139">
        <f>'FORM E1'!AB36</f>
        <v>0</v>
      </c>
      <c r="D71" s="1141" t="s">
        <v>3895</v>
      </c>
      <c r="E71" s="1142" t="s">
        <v>3896</v>
      </c>
      <c r="F71" s="1138" t="e">
        <f t="shared" si="0"/>
        <v>#VALUE!</v>
      </c>
      <c r="G71" s="1140" t="e">
        <f t="shared" si="1"/>
        <v>#VALUE!</v>
      </c>
      <c r="H71" s="1133"/>
      <c r="I71" t="str">
        <f>IF('FORM E2'!B36="","",'FORM E2'!B36)</f>
        <v/>
      </c>
      <c r="J71" s="1136">
        <f>'FORM E2'!X36</f>
        <v>0</v>
      </c>
      <c r="K71" s="1139">
        <f>'FORM E2'!AK36</f>
        <v>0</v>
      </c>
      <c r="L71" s="1141" t="s">
        <v>3897</v>
      </c>
      <c r="M71" s="1142" t="s">
        <v>3898</v>
      </c>
      <c r="N71" s="1138" t="e">
        <f t="shared" si="2"/>
        <v>#VALUE!</v>
      </c>
      <c r="O71" s="1140" t="e">
        <f t="shared" si="3"/>
        <v>#VALUE!</v>
      </c>
    </row>
    <row r="72" spans="1:15" x14ac:dyDescent="0.2">
      <c r="A72" t="str">
        <f>IF('FORM E1'!B37="","",'FORM E1'!B37)</f>
        <v/>
      </c>
      <c r="B72" s="1136">
        <f>'FORM E1'!T37</f>
        <v>0</v>
      </c>
      <c r="C72" s="1139">
        <f>'FORM E1'!AB37</f>
        <v>0</v>
      </c>
      <c r="D72" s="1141" t="s">
        <v>3895</v>
      </c>
      <c r="E72" s="1142" t="s">
        <v>3896</v>
      </c>
      <c r="F72" s="1138" t="e">
        <f t="shared" si="0"/>
        <v>#VALUE!</v>
      </c>
      <c r="G72" s="1140" t="e">
        <f t="shared" si="1"/>
        <v>#VALUE!</v>
      </c>
      <c r="H72" s="1133"/>
      <c r="I72" t="str">
        <f>IF('FORM E2'!B37="","",'FORM E2'!B37)</f>
        <v/>
      </c>
      <c r="J72" s="1136">
        <f>'FORM E2'!X37</f>
        <v>0</v>
      </c>
      <c r="K72" s="1139">
        <f>'FORM E2'!AK37</f>
        <v>0</v>
      </c>
      <c r="L72" s="1141" t="s">
        <v>3897</v>
      </c>
      <c r="M72" s="1142" t="s">
        <v>3898</v>
      </c>
      <c r="N72" s="1138" t="e">
        <f t="shared" si="2"/>
        <v>#VALUE!</v>
      </c>
      <c r="O72" s="1140" t="e">
        <f t="shared" si="3"/>
        <v>#VALUE!</v>
      </c>
    </row>
    <row r="73" spans="1:15" x14ac:dyDescent="0.2">
      <c r="A73" t="str">
        <f>IF('FORM E1'!B38="","",'FORM E1'!B38)</f>
        <v/>
      </c>
      <c r="B73" s="1136">
        <f>'FORM E1'!T38</f>
        <v>0</v>
      </c>
      <c r="C73" s="1139">
        <f>'FORM E1'!AB38</f>
        <v>0</v>
      </c>
      <c r="D73" s="1141" t="s">
        <v>3895</v>
      </c>
      <c r="E73" s="1142" t="s">
        <v>3896</v>
      </c>
      <c r="F73" s="1138" t="e">
        <f t="shared" si="0"/>
        <v>#VALUE!</v>
      </c>
      <c r="G73" s="1140" t="e">
        <f t="shared" si="1"/>
        <v>#VALUE!</v>
      </c>
      <c r="H73" s="1133"/>
      <c r="I73" t="str">
        <f>IF('FORM E2'!B38="","",'FORM E2'!B38)</f>
        <v/>
      </c>
      <c r="J73" s="1136">
        <f>'FORM E2'!X38</f>
        <v>0</v>
      </c>
      <c r="K73" s="1139">
        <f>'FORM E2'!AK38</f>
        <v>0</v>
      </c>
      <c r="L73" s="1141" t="s">
        <v>3897</v>
      </c>
      <c r="M73" s="1142" t="s">
        <v>3898</v>
      </c>
      <c r="N73" s="1138" t="e">
        <f t="shared" si="2"/>
        <v>#VALUE!</v>
      </c>
      <c r="O73" s="1140" t="e">
        <f t="shared" si="3"/>
        <v>#VALUE!</v>
      </c>
    </row>
    <row r="74" spans="1:15" x14ac:dyDescent="0.2">
      <c r="A74" t="str">
        <f>IF('FORM E1'!B39="","",'FORM E1'!B39)</f>
        <v/>
      </c>
      <c r="B74" s="1136">
        <f>'FORM E1'!T39</f>
        <v>0</v>
      </c>
      <c r="C74" s="1139">
        <f>'FORM E1'!AB39</f>
        <v>0</v>
      </c>
      <c r="D74" s="1141" t="s">
        <v>3895</v>
      </c>
      <c r="E74" s="1142" t="s">
        <v>3896</v>
      </c>
      <c r="F74" s="1138" t="e">
        <f t="shared" si="0"/>
        <v>#VALUE!</v>
      </c>
      <c r="G74" s="1140" t="e">
        <f t="shared" si="1"/>
        <v>#VALUE!</v>
      </c>
      <c r="H74" s="1133"/>
      <c r="I74" t="str">
        <f>IF('FORM E2'!B39="","",'FORM E2'!B39)</f>
        <v/>
      </c>
      <c r="J74" s="1136">
        <f>'FORM E2'!X39</f>
        <v>0</v>
      </c>
      <c r="K74" s="1139">
        <f>'FORM E2'!AK39</f>
        <v>0</v>
      </c>
      <c r="L74" s="1141" t="s">
        <v>3897</v>
      </c>
      <c r="M74" s="1142" t="s">
        <v>3898</v>
      </c>
      <c r="N74" s="1138" t="e">
        <f t="shared" si="2"/>
        <v>#VALUE!</v>
      </c>
      <c r="O74" s="1140" t="e">
        <f t="shared" si="3"/>
        <v>#VALUE!</v>
      </c>
    </row>
    <row r="75" spans="1:15" x14ac:dyDescent="0.2">
      <c r="A75" t="str">
        <f>IF('FORM E1'!B40="","",'FORM E1'!B40)</f>
        <v/>
      </c>
      <c r="B75" s="1136">
        <f>'FORM E1'!T40</f>
        <v>0</v>
      </c>
      <c r="C75" s="1139">
        <f>'FORM E1'!AB40</f>
        <v>0</v>
      </c>
      <c r="D75" s="1141" t="s">
        <v>3895</v>
      </c>
      <c r="E75" s="1142" t="s">
        <v>3896</v>
      </c>
      <c r="F75" s="1138" t="e">
        <f t="shared" si="0"/>
        <v>#VALUE!</v>
      </c>
      <c r="G75" s="1140" t="e">
        <f t="shared" si="1"/>
        <v>#VALUE!</v>
      </c>
      <c r="H75" s="1133"/>
      <c r="I75" t="str">
        <f>IF('FORM E2'!B40="","",'FORM E2'!B40)</f>
        <v/>
      </c>
      <c r="J75" s="1136">
        <f>'FORM E2'!X40</f>
        <v>0</v>
      </c>
      <c r="K75" s="1139">
        <f>'FORM E2'!AK40</f>
        <v>0</v>
      </c>
      <c r="L75" s="1141" t="s">
        <v>3897</v>
      </c>
      <c r="M75" s="1142" t="s">
        <v>3898</v>
      </c>
      <c r="N75" s="1138" t="e">
        <f t="shared" si="2"/>
        <v>#VALUE!</v>
      </c>
      <c r="O75" s="1140" t="e">
        <f t="shared" si="3"/>
        <v>#VALUE!</v>
      </c>
    </row>
    <row r="76" spans="1:15" x14ac:dyDescent="0.2">
      <c r="A76" t="str">
        <f>IF('FORM E1'!B41="","",'FORM E1'!B41)</f>
        <v/>
      </c>
      <c r="B76" s="1136">
        <f>'FORM E1'!T41</f>
        <v>0</v>
      </c>
      <c r="C76" s="1139">
        <f>'FORM E1'!AB41</f>
        <v>0</v>
      </c>
      <c r="D76" s="1141" t="s">
        <v>3895</v>
      </c>
      <c r="E76" s="1142" t="s">
        <v>3896</v>
      </c>
      <c r="F76" s="1138" t="e">
        <f t="shared" si="0"/>
        <v>#VALUE!</v>
      </c>
      <c r="G76" s="1140" t="e">
        <f t="shared" si="1"/>
        <v>#VALUE!</v>
      </c>
      <c r="H76" s="1133"/>
      <c r="I76" t="str">
        <f>IF('FORM E2'!B41="","",'FORM E2'!B41)</f>
        <v/>
      </c>
      <c r="J76" s="1136">
        <f>'FORM E2'!X41</f>
        <v>0</v>
      </c>
      <c r="K76" s="1139">
        <f>'FORM E2'!AK41</f>
        <v>0</v>
      </c>
      <c r="L76" s="1141" t="s">
        <v>3897</v>
      </c>
      <c r="M76" s="1142" t="s">
        <v>3898</v>
      </c>
      <c r="N76" s="1138" t="e">
        <f t="shared" si="2"/>
        <v>#VALUE!</v>
      </c>
      <c r="O76" s="1140" t="e">
        <f t="shared" si="3"/>
        <v>#VALUE!</v>
      </c>
    </row>
    <row r="77" spans="1:15" x14ac:dyDescent="0.2">
      <c r="A77" t="str">
        <f>IF('FORM E1'!B42="","",'FORM E1'!B42)</f>
        <v/>
      </c>
      <c r="B77" s="1136">
        <f>'FORM E1'!T42</f>
        <v>0</v>
      </c>
      <c r="C77" s="1139">
        <f>'FORM E1'!AB42</f>
        <v>0</v>
      </c>
      <c r="D77" s="1141" t="s">
        <v>3895</v>
      </c>
      <c r="E77" s="1142" t="s">
        <v>3896</v>
      </c>
      <c r="F77" s="1138" t="e">
        <f t="shared" si="0"/>
        <v>#VALUE!</v>
      </c>
      <c r="G77" s="1140" t="e">
        <f t="shared" si="1"/>
        <v>#VALUE!</v>
      </c>
      <c r="H77" s="1133"/>
      <c r="I77" t="str">
        <f>IF('FORM E2'!B42="","",'FORM E2'!B42)</f>
        <v/>
      </c>
      <c r="J77" s="1136">
        <f>'FORM E2'!X42</f>
        <v>0</v>
      </c>
      <c r="K77" s="1139">
        <f>'FORM E2'!AK42</f>
        <v>0</v>
      </c>
      <c r="L77" s="1141" t="s">
        <v>3897</v>
      </c>
      <c r="M77" s="1142" t="s">
        <v>3898</v>
      </c>
      <c r="N77" s="1138" t="e">
        <f t="shared" si="2"/>
        <v>#VALUE!</v>
      </c>
      <c r="O77" s="1140" t="e">
        <f t="shared" si="3"/>
        <v>#VALUE!</v>
      </c>
    </row>
    <row r="78" spans="1:15" x14ac:dyDescent="0.2">
      <c r="A78" t="str">
        <f>IF('FORM E1'!B43="","",'FORM E1'!B43)</f>
        <v/>
      </c>
      <c r="B78" s="1136">
        <f>'FORM E1'!T43</f>
        <v>0</v>
      </c>
      <c r="C78" s="1139">
        <f>'FORM E1'!AB43</f>
        <v>0</v>
      </c>
      <c r="D78" s="1141" t="s">
        <v>3895</v>
      </c>
      <c r="E78" s="1142" t="s">
        <v>3896</v>
      </c>
      <c r="F78" s="1138" t="e">
        <f t="shared" si="0"/>
        <v>#VALUE!</v>
      </c>
      <c r="G78" s="1140" t="e">
        <f t="shared" si="1"/>
        <v>#VALUE!</v>
      </c>
      <c r="H78" s="1133"/>
      <c r="I78" t="str">
        <f>IF('FORM E2'!B43="","",'FORM E2'!B43)</f>
        <v/>
      </c>
      <c r="J78" s="1136">
        <f>'FORM E2'!X43</f>
        <v>0</v>
      </c>
      <c r="K78" s="1139">
        <f>'FORM E2'!AK43</f>
        <v>0</v>
      </c>
      <c r="L78" s="1141" t="s">
        <v>3897</v>
      </c>
      <c r="M78" s="1142" t="s">
        <v>3898</v>
      </c>
      <c r="N78" s="1138" t="e">
        <f t="shared" si="2"/>
        <v>#VALUE!</v>
      </c>
      <c r="O78" s="1140" t="e">
        <f t="shared" si="3"/>
        <v>#VALUE!</v>
      </c>
    </row>
    <row r="79" spans="1:15" x14ac:dyDescent="0.2">
      <c r="A79" t="str">
        <f>IF('FORM E1'!B44="","",'FORM E1'!B44)</f>
        <v/>
      </c>
      <c r="B79" s="1136">
        <f>'FORM E1'!T44</f>
        <v>0</v>
      </c>
      <c r="C79" s="1139">
        <f>'FORM E1'!AB44</f>
        <v>0</v>
      </c>
      <c r="D79" s="1141" t="s">
        <v>3895</v>
      </c>
      <c r="E79" s="1142" t="s">
        <v>3896</v>
      </c>
      <c r="F79" s="1138" t="e">
        <f t="shared" si="0"/>
        <v>#VALUE!</v>
      </c>
      <c r="G79" s="1140" t="e">
        <f t="shared" si="1"/>
        <v>#VALUE!</v>
      </c>
      <c r="H79" s="1133"/>
      <c r="I79" t="str">
        <f>IF('FORM E2'!B44="","",'FORM E2'!B44)</f>
        <v/>
      </c>
      <c r="J79" s="1136">
        <f>'FORM E2'!X44</f>
        <v>0</v>
      </c>
      <c r="K79" s="1139">
        <f>'FORM E2'!AK44</f>
        <v>0</v>
      </c>
      <c r="L79" s="1141" t="s">
        <v>3897</v>
      </c>
      <c r="M79" s="1142" t="s">
        <v>3898</v>
      </c>
      <c r="N79" s="1138" t="e">
        <f t="shared" si="2"/>
        <v>#VALUE!</v>
      </c>
      <c r="O79" s="1140" t="e">
        <f t="shared" si="3"/>
        <v>#VALUE!</v>
      </c>
    </row>
    <row r="80" spans="1:15" x14ac:dyDescent="0.2">
      <c r="A80" t="str">
        <f>IF('FORM E1'!B45="","",'FORM E1'!B45)</f>
        <v/>
      </c>
      <c r="B80" s="1136">
        <f>'FORM E1'!T45</f>
        <v>0</v>
      </c>
      <c r="C80" s="1139">
        <f>'FORM E1'!AB45</f>
        <v>0</v>
      </c>
      <c r="D80" s="1141" t="s">
        <v>3895</v>
      </c>
      <c r="E80" s="1142" t="s">
        <v>3896</v>
      </c>
      <c r="F80" s="1138" t="e">
        <f t="shared" si="0"/>
        <v>#VALUE!</v>
      </c>
      <c r="G80" s="1140" t="e">
        <f t="shared" si="1"/>
        <v>#VALUE!</v>
      </c>
      <c r="H80" s="1133"/>
      <c r="I80" t="str">
        <f>IF('FORM E2'!B45="","",'FORM E2'!B45)</f>
        <v/>
      </c>
      <c r="J80" s="1136">
        <f>'FORM E2'!X45</f>
        <v>0</v>
      </c>
      <c r="K80" s="1139">
        <f>'FORM E2'!AK45</f>
        <v>0</v>
      </c>
      <c r="L80" s="1141" t="s">
        <v>3897</v>
      </c>
      <c r="M80" s="1142" t="s">
        <v>3898</v>
      </c>
      <c r="N80" s="1138" t="e">
        <f t="shared" si="2"/>
        <v>#VALUE!</v>
      </c>
      <c r="O80" s="1140" t="e">
        <f t="shared" si="3"/>
        <v>#VALUE!</v>
      </c>
    </row>
    <row r="81" spans="1:15" x14ac:dyDescent="0.2">
      <c r="A81" t="str">
        <f>IF('FORM E1'!B46="","",'FORM E1'!B46)</f>
        <v/>
      </c>
      <c r="B81" s="1136">
        <f>'FORM E1'!T46</f>
        <v>0</v>
      </c>
      <c r="C81" s="1139">
        <f>'FORM E1'!AB46</f>
        <v>0</v>
      </c>
      <c r="D81" s="1141" t="s">
        <v>3895</v>
      </c>
      <c r="E81" s="1142" t="s">
        <v>3896</v>
      </c>
      <c r="F81" s="1138" t="e">
        <f t="shared" si="0"/>
        <v>#VALUE!</v>
      </c>
      <c r="G81" s="1140" t="e">
        <f t="shared" si="1"/>
        <v>#VALUE!</v>
      </c>
      <c r="H81" s="1133"/>
      <c r="I81" t="str">
        <f>IF('FORM E2'!B46="","",'FORM E2'!B46)</f>
        <v/>
      </c>
      <c r="J81" s="1136">
        <f>'FORM E2'!X46</f>
        <v>0</v>
      </c>
      <c r="K81" s="1139">
        <f>'FORM E2'!AK46</f>
        <v>0</v>
      </c>
      <c r="L81" s="1141" t="s">
        <v>3897</v>
      </c>
      <c r="M81" s="1142" t="s">
        <v>3898</v>
      </c>
      <c r="N81" s="1138" t="e">
        <f t="shared" si="2"/>
        <v>#VALUE!</v>
      </c>
      <c r="O81" s="1140" t="e">
        <f t="shared" si="3"/>
        <v>#VALUE!</v>
      </c>
    </row>
    <row r="82" spans="1:15" x14ac:dyDescent="0.2">
      <c r="A82" t="str">
        <f>IF('FORM E1'!B47="","",'FORM E1'!B47)</f>
        <v/>
      </c>
      <c r="B82" s="1136">
        <f>'FORM E1'!T47</f>
        <v>0</v>
      </c>
      <c r="C82" s="1139">
        <f>'FORM E1'!AB47</f>
        <v>0</v>
      </c>
      <c r="D82" s="1141" t="s">
        <v>3895</v>
      </c>
      <c r="E82" s="1142" t="s">
        <v>3896</v>
      </c>
      <c r="F82" s="1138" t="e">
        <f t="shared" si="0"/>
        <v>#VALUE!</v>
      </c>
      <c r="G82" s="1140" t="e">
        <f t="shared" si="1"/>
        <v>#VALUE!</v>
      </c>
      <c r="H82" s="1133"/>
      <c r="I82" t="str">
        <f>IF('FORM E2'!B47="","",'FORM E2'!B47)</f>
        <v/>
      </c>
      <c r="J82" s="1136">
        <f>'FORM E2'!X47</f>
        <v>0</v>
      </c>
      <c r="K82" s="1139">
        <f>'FORM E2'!AK47</f>
        <v>0</v>
      </c>
      <c r="L82" s="1141" t="s">
        <v>3897</v>
      </c>
      <c r="M82" s="1142" t="s">
        <v>3898</v>
      </c>
      <c r="N82" s="1138" t="e">
        <f t="shared" si="2"/>
        <v>#VALUE!</v>
      </c>
      <c r="O82" s="1140" t="e">
        <f t="shared" si="3"/>
        <v>#VALUE!</v>
      </c>
    </row>
    <row r="83" spans="1:15" x14ac:dyDescent="0.2">
      <c r="A83" t="str">
        <f>IF('FORM E1'!B48="","",'FORM E1'!B48)</f>
        <v/>
      </c>
      <c r="B83" s="1136">
        <f>'FORM E1'!T48</f>
        <v>0</v>
      </c>
      <c r="C83" s="1139">
        <f>'FORM E1'!AB48</f>
        <v>0</v>
      </c>
      <c r="D83" s="1141" t="s">
        <v>3895</v>
      </c>
      <c r="E83" s="1142" t="s">
        <v>3896</v>
      </c>
      <c r="F83" s="1138" t="e">
        <f t="shared" si="0"/>
        <v>#VALUE!</v>
      </c>
      <c r="G83" s="1140" t="e">
        <f t="shared" si="1"/>
        <v>#VALUE!</v>
      </c>
      <c r="H83" s="1133"/>
      <c r="I83" t="str">
        <f>IF('FORM E2'!B48="","",'FORM E2'!B48)</f>
        <v/>
      </c>
      <c r="J83" s="1136">
        <f>'FORM E2'!X48</f>
        <v>0</v>
      </c>
      <c r="K83" s="1139">
        <f>'FORM E2'!AK48</f>
        <v>0</v>
      </c>
      <c r="L83" s="1141" t="s">
        <v>3897</v>
      </c>
      <c r="M83" s="1142" t="s">
        <v>3898</v>
      </c>
      <c r="N83" s="1138" t="e">
        <f t="shared" si="2"/>
        <v>#VALUE!</v>
      </c>
      <c r="O83" s="1140" t="e">
        <f t="shared" si="3"/>
        <v>#VALUE!</v>
      </c>
    </row>
    <row r="84" spans="1:15" x14ac:dyDescent="0.2">
      <c r="A84" t="str">
        <f>IF('FORM E1'!B49="","",'FORM E1'!B49)</f>
        <v/>
      </c>
      <c r="B84" s="1136">
        <f>'FORM E1'!T49</f>
        <v>0</v>
      </c>
      <c r="C84" s="1139">
        <f>'FORM E1'!AB49</f>
        <v>0</v>
      </c>
      <c r="D84" s="1141" t="s">
        <v>3895</v>
      </c>
      <c r="E84" s="1142" t="s">
        <v>3896</v>
      </c>
      <c r="F84" s="1138" t="e">
        <f t="shared" si="0"/>
        <v>#VALUE!</v>
      </c>
      <c r="G84" s="1140" t="e">
        <f t="shared" si="1"/>
        <v>#VALUE!</v>
      </c>
      <c r="H84" s="1133"/>
      <c r="I84" t="str">
        <f>IF('FORM E2'!B49="","",'FORM E2'!B49)</f>
        <v/>
      </c>
      <c r="J84" s="1136">
        <f>'FORM E2'!X49</f>
        <v>0</v>
      </c>
      <c r="K84" s="1139">
        <f>'FORM E2'!AK49</f>
        <v>0</v>
      </c>
      <c r="L84" s="1141" t="s">
        <v>3897</v>
      </c>
      <c r="M84" s="1142" t="s">
        <v>3898</v>
      </c>
      <c r="N84" s="1138" t="e">
        <f t="shared" si="2"/>
        <v>#VALUE!</v>
      </c>
      <c r="O84" s="1140" t="e">
        <f t="shared" si="3"/>
        <v>#VALUE!</v>
      </c>
    </row>
    <row r="85" spans="1:15" x14ac:dyDescent="0.2">
      <c r="A85" t="str">
        <f>IF('FORM E1'!B50="","",'FORM E1'!B50)</f>
        <v/>
      </c>
      <c r="B85" s="1136">
        <f>'FORM E1'!T50</f>
        <v>0</v>
      </c>
      <c r="C85" s="1139">
        <f>'FORM E1'!AB50</f>
        <v>0</v>
      </c>
      <c r="D85" s="1141" t="s">
        <v>3895</v>
      </c>
      <c r="E85" s="1142" t="s">
        <v>3896</v>
      </c>
      <c r="F85" s="1138" t="e">
        <f t="shared" si="0"/>
        <v>#VALUE!</v>
      </c>
      <c r="G85" s="1140" t="e">
        <f t="shared" si="1"/>
        <v>#VALUE!</v>
      </c>
      <c r="H85" s="1133"/>
      <c r="I85" t="str">
        <f>IF('FORM E2'!B50="","",'FORM E2'!B50)</f>
        <v/>
      </c>
      <c r="J85" s="1136">
        <f>'FORM E2'!X50</f>
        <v>0</v>
      </c>
      <c r="K85" s="1139">
        <f>'FORM E2'!AK50</f>
        <v>0</v>
      </c>
      <c r="L85" s="1141" t="s">
        <v>3897</v>
      </c>
      <c r="M85" s="1142" t="s">
        <v>3898</v>
      </c>
      <c r="N85" s="1138" t="e">
        <f t="shared" si="2"/>
        <v>#VALUE!</v>
      </c>
      <c r="O85" s="1140" t="e">
        <f t="shared" si="3"/>
        <v>#VALUE!</v>
      </c>
    </row>
    <row r="86" spans="1:15" x14ac:dyDescent="0.2">
      <c r="A86" t="str">
        <f>IF('FORM E1'!B51="","",'FORM E1'!B51)</f>
        <v/>
      </c>
      <c r="B86" s="1136">
        <f>'FORM E1'!T51</f>
        <v>0</v>
      </c>
      <c r="C86" s="1139">
        <f>'FORM E1'!AB51</f>
        <v>0</v>
      </c>
      <c r="D86" s="1141" t="s">
        <v>3895</v>
      </c>
      <c r="E86" s="1142" t="s">
        <v>3896</v>
      </c>
      <c r="F86" s="1138" t="e">
        <f t="shared" si="0"/>
        <v>#VALUE!</v>
      </c>
      <c r="G86" s="1140" t="e">
        <f t="shared" si="1"/>
        <v>#VALUE!</v>
      </c>
      <c r="H86" s="1133"/>
      <c r="I86" t="str">
        <f>IF('FORM E2'!B51="","",'FORM E2'!B51)</f>
        <v/>
      </c>
      <c r="J86" s="1136">
        <f>'FORM E2'!X51</f>
        <v>0</v>
      </c>
      <c r="K86" s="1139">
        <f>'FORM E2'!AK51</f>
        <v>0</v>
      </c>
      <c r="L86" s="1141" t="s">
        <v>3897</v>
      </c>
      <c r="M86" s="1142" t="s">
        <v>3898</v>
      </c>
      <c r="N86" s="1138" t="e">
        <f t="shared" si="2"/>
        <v>#VALUE!</v>
      </c>
      <c r="O86" s="1140" t="e">
        <f t="shared" si="3"/>
        <v>#VALUE!</v>
      </c>
    </row>
    <row r="87" spans="1:15" x14ac:dyDescent="0.2">
      <c r="A87" t="str">
        <f>IF('FORM E1'!B52="","",'FORM E1'!B52)</f>
        <v/>
      </c>
      <c r="B87" s="1136">
        <f>'FORM E1'!T52</f>
        <v>0</v>
      </c>
      <c r="C87" s="1139">
        <f>'FORM E1'!AB52</f>
        <v>0</v>
      </c>
      <c r="D87" s="1141" t="s">
        <v>3895</v>
      </c>
      <c r="E87" s="1142" t="s">
        <v>3896</v>
      </c>
      <c r="F87" s="1138" t="e">
        <f t="shared" si="0"/>
        <v>#VALUE!</v>
      </c>
      <c r="G87" s="1140" t="e">
        <f t="shared" si="1"/>
        <v>#VALUE!</v>
      </c>
      <c r="H87" s="1133"/>
      <c r="I87" t="str">
        <f>IF('FORM E2'!B52="","",'FORM E2'!B52)</f>
        <v/>
      </c>
      <c r="J87" s="1136">
        <f>'FORM E2'!X52</f>
        <v>0</v>
      </c>
      <c r="K87" s="1139">
        <f>'FORM E2'!AK52</f>
        <v>0</v>
      </c>
      <c r="L87" s="1141" t="s">
        <v>3897</v>
      </c>
      <c r="M87" s="1142" t="s">
        <v>3898</v>
      </c>
      <c r="N87" s="1138" t="e">
        <f t="shared" si="2"/>
        <v>#VALUE!</v>
      </c>
      <c r="O87" s="1140" t="e">
        <f t="shared" si="3"/>
        <v>#VALUE!</v>
      </c>
    </row>
    <row r="88" spans="1:15" x14ac:dyDescent="0.2">
      <c r="A88" t="str">
        <f>IF('FORM E1'!B53="","",'FORM E1'!B53)</f>
        <v/>
      </c>
      <c r="B88" s="1136">
        <f>'FORM E1'!T53</f>
        <v>0</v>
      </c>
      <c r="C88" s="1139">
        <f>'FORM E1'!AB53</f>
        <v>0</v>
      </c>
      <c r="D88" s="1141" t="s">
        <v>3895</v>
      </c>
      <c r="E88" s="1142" t="s">
        <v>3896</v>
      </c>
      <c r="F88" s="1138" t="e">
        <f t="shared" si="0"/>
        <v>#VALUE!</v>
      </c>
      <c r="G88" s="1140" t="e">
        <f t="shared" si="1"/>
        <v>#VALUE!</v>
      </c>
      <c r="H88" s="1133"/>
      <c r="I88" t="str">
        <f>IF('FORM E2'!B53="","",'FORM E2'!B53)</f>
        <v/>
      </c>
      <c r="J88" s="1136">
        <f>'FORM E2'!X53</f>
        <v>0</v>
      </c>
      <c r="K88" s="1139">
        <f>'FORM E2'!AK53</f>
        <v>0</v>
      </c>
      <c r="L88" s="1141" t="s">
        <v>3897</v>
      </c>
      <c r="M88" s="1142" t="s">
        <v>3898</v>
      </c>
      <c r="N88" s="1138" t="e">
        <f t="shared" si="2"/>
        <v>#VALUE!</v>
      </c>
      <c r="O88" s="1140" t="e">
        <f t="shared" si="3"/>
        <v>#VALUE!</v>
      </c>
    </row>
    <row r="89" spans="1:15" x14ac:dyDescent="0.2">
      <c r="A89" t="str">
        <f>IF('FORM E1'!B54="","",'FORM E1'!B54)</f>
        <v/>
      </c>
      <c r="B89" s="1136">
        <f>'FORM E1'!T54</f>
        <v>0</v>
      </c>
      <c r="C89" s="1139">
        <f>'FORM E1'!AB54</f>
        <v>0</v>
      </c>
      <c r="D89" s="1141" t="s">
        <v>3895</v>
      </c>
      <c r="E89" s="1142" t="s">
        <v>3896</v>
      </c>
      <c r="F89" s="1138" t="e">
        <f t="shared" si="0"/>
        <v>#VALUE!</v>
      </c>
      <c r="G89" s="1140" t="e">
        <f t="shared" si="1"/>
        <v>#VALUE!</v>
      </c>
      <c r="H89" s="1133"/>
      <c r="I89" t="str">
        <f>IF('FORM E2'!B54="","",'FORM E2'!B54)</f>
        <v/>
      </c>
      <c r="J89" s="1136">
        <f>'FORM E2'!X54</f>
        <v>0</v>
      </c>
      <c r="K89" s="1139">
        <f>'FORM E2'!AK54</f>
        <v>0</v>
      </c>
      <c r="L89" s="1141" t="s">
        <v>3897</v>
      </c>
      <c r="M89" s="1142" t="s">
        <v>3898</v>
      </c>
      <c r="N89" s="1138" t="e">
        <f t="shared" si="2"/>
        <v>#VALUE!</v>
      </c>
      <c r="O89" s="1140" t="e">
        <f t="shared" si="3"/>
        <v>#VALUE!</v>
      </c>
    </row>
    <row r="90" spans="1:15" x14ac:dyDescent="0.2">
      <c r="A90" t="str">
        <f>IF('FORM E1'!B55="","",'FORM E1'!B55)</f>
        <v/>
      </c>
      <c r="B90" s="1136">
        <f>'FORM E1'!T55</f>
        <v>0</v>
      </c>
      <c r="C90" s="1139">
        <f>'FORM E1'!AB55</f>
        <v>0</v>
      </c>
      <c r="D90" s="1141" t="s">
        <v>3895</v>
      </c>
      <c r="E90" s="1142" t="s">
        <v>3896</v>
      </c>
      <c r="F90" s="1138" t="e">
        <f t="shared" si="0"/>
        <v>#VALUE!</v>
      </c>
      <c r="G90" s="1140" t="e">
        <f t="shared" si="1"/>
        <v>#VALUE!</v>
      </c>
      <c r="H90" s="1133"/>
      <c r="I90" t="str">
        <f>IF('FORM E2'!B55="","",'FORM E2'!B55)</f>
        <v/>
      </c>
      <c r="J90" s="1136">
        <f>'FORM E2'!X55</f>
        <v>0</v>
      </c>
      <c r="K90" s="1139">
        <f>'FORM E2'!AK55</f>
        <v>0</v>
      </c>
      <c r="L90" s="1141" t="s">
        <v>3897</v>
      </c>
      <c r="M90" s="1142" t="s">
        <v>3898</v>
      </c>
      <c r="N90" s="1138" t="e">
        <f t="shared" si="2"/>
        <v>#VALUE!</v>
      </c>
      <c r="O90" s="1140" t="e">
        <f t="shared" si="3"/>
        <v>#VALUE!</v>
      </c>
    </row>
    <row r="91" spans="1:15" x14ac:dyDescent="0.2">
      <c r="A91" t="str">
        <f>IF('FORM E1'!B56="","",'FORM E1'!B56)</f>
        <v/>
      </c>
      <c r="B91" s="1136">
        <f>'FORM E1'!T56</f>
        <v>0</v>
      </c>
      <c r="C91" s="1139">
        <f>'FORM E1'!AB56</f>
        <v>0</v>
      </c>
      <c r="D91" s="1141" t="s">
        <v>3895</v>
      </c>
      <c r="E91" s="1142" t="s">
        <v>3896</v>
      </c>
      <c r="F91" s="1138" t="e">
        <f t="shared" si="0"/>
        <v>#VALUE!</v>
      </c>
      <c r="G91" s="1140" t="e">
        <f t="shared" si="1"/>
        <v>#VALUE!</v>
      </c>
      <c r="H91" s="1133"/>
      <c r="I91" t="str">
        <f>IF('FORM E2'!B56="","",'FORM E2'!B56)</f>
        <v/>
      </c>
      <c r="J91" s="1136">
        <f>'FORM E2'!X56</f>
        <v>0</v>
      </c>
      <c r="K91" s="1139">
        <f>'FORM E2'!AK56</f>
        <v>0</v>
      </c>
      <c r="L91" s="1141" t="s">
        <v>3897</v>
      </c>
      <c r="M91" s="1142" t="s">
        <v>3898</v>
      </c>
      <c r="N91" s="1138" t="e">
        <f t="shared" si="2"/>
        <v>#VALUE!</v>
      </c>
      <c r="O91" s="1140" t="e">
        <f t="shared" si="3"/>
        <v>#VALUE!</v>
      </c>
    </row>
    <row r="92" spans="1:15" x14ac:dyDescent="0.2">
      <c r="A92" t="str">
        <f>IF('FORM E1'!B57="","",'FORM E1'!B57)</f>
        <v/>
      </c>
      <c r="B92" s="1136">
        <f>'FORM E1'!T57</f>
        <v>0</v>
      </c>
      <c r="C92" s="1139">
        <f>'FORM E1'!AB57</f>
        <v>0</v>
      </c>
      <c r="D92" s="1141" t="s">
        <v>3895</v>
      </c>
      <c r="E92" s="1142" t="s">
        <v>3896</v>
      </c>
      <c r="F92" s="1138" t="e">
        <f t="shared" si="0"/>
        <v>#VALUE!</v>
      </c>
      <c r="G92" s="1140" t="e">
        <f t="shared" si="1"/>
        <v>#VALUE!</v>
      </c>
      <c r="H92" s="1133"/>
      <c r="I92" t="str">
        <f>IF('FORM E2'!B57="","",'FORM E2'!B57)</f>
        <v/>
      </c>
      <c r="J92" s="1136">
        <f>'FORM E2'!X57</f>
        <v>0</v>
      </c>
      <c r="K92" s="1139">
        <f>'FORM E2'!AK57</f>
        <v>0</v>
      </c>
      <c r="L92" s="1141" t="s">
        <v>3897</v>
      </c>
      <c r="M92" s="1142" t="s">
        <v>3898</v>
      </c>
      <c r="N92" s="1138" t="e">
        <f t="shared" si="2"/>
        <v>#VALUE!</v>
      </c>
      <c r="O92" s="1140" t="e">
        <f t="shared" si="3"/>
        <v>#VALUE!</v>
      </c>
    </row>
    <row r="93" spans="1:15" x14ac:dyDescent="0.2">
      <c r="A93" t="str">
        <f>IF('FORM E1'!B58="","",'FORM E1'!B58)</f>
        <v/>
      </c>
      <c r="B93" s="1136">
        <f>'FORM E1'!T58</f>
        <v>0</v>
      </c>
      <c r="C93" s="1139">
        <f>'FORM E1'!AB58</f>
        <v>0</v>
      </c>
      <c r="D93" s="1141" t="s">
        <v>3895</v>
      </c>
      <c r="E93" s="1142" t="s">
        <v>3896</v>
      </c>
      <c r="F93" s="1138" t="e">
        <f t="shared" si="0"/>
        <v>#VALUE!</v>
      </c>
      <c r="G93" s="1140" t="e">
        <f t="shared" si="1"/>
        <v>#VALUE!</v>
      </c>
      <c r="H93" s="1133"/>
      <c r="I93" t="str">
        <f>IF('FORM E2'!B58="","",'FORM E2'!B58)</f>
        <v/>
      </c>
      <c r="J93" s="1136">
        <f>'FORM E2'!X58</f>
        <v>0</v>
      </c>
      <c r="K93" s="1139">
        <f>'FORM E2'!AK58</f>
        <v>0</v>
      </c>
      <c r="L93" s="1141" t="s">
        <v>3897</v>
      </c>
      <c r="M93" s="1142" t="s">
        <v>3898</v>
      </c>
      <c r="N93" s="1138" t="e">
        <f t="shared" si="2"/>
        <v>#VALUE!</v>
      </c>
      <c r="O93" s="1140" t="e">
        <f t="shared" si="3"/>
        <v>#VALUE!</v>
      </c>
    </row>
    <row r="94" spans="1:15" x14ac:dyDescent="0.2">
      <c r="A94" t="str">
        <f>IF('FORM E1'!B59="","",'FORM E1'!B59)</f>
        <v/>
      </c>
      <c r="B94" s="1136">
        <f>'FORM E1'!T59</f>
        <v>0</v>
      </c>
      <c r="C94" s="1139">
        <f>'FORM E1'!AB59</f>
        <v>0</v>
      </c>
      <c r="D94" s="1141" t="s">
        <v>3895</v>
      </c>
      <c r="E94" s="1142" t="s">
        <v>3896</v>
      </c>
      <c r="F94" s="1138" t="e">
        <f t="shared" si="0"/>
        <v>#VALUE!</v>
      </c>
      <c r="G94" s="1140" t="e">
        <f t="shared" si="1"/>
        <v>#VALUE!</v>
      </c>
      <c r="H94" s="1133"/>
      <c r="I94" t="str">
        <f>IF('FORM E2'!B59="","",'FORM E2'!B59)</f>
        <v/>
      </c>
      <c r="J94" s="1136">
        <f>'FORM E2'!X59</f>
        <v>0</v>
      </c>
      <c r="K94" s="1139">
        <f>'FORM E2'!AK59</f>
        <v>0</v>
      </c>
      <c r="L94" s="1141" t="s">
        <v>3897</v>
      </c>
      <c r="M94" s="1142" t="s">
        <v>3898</v>
      </c>
      <c r="N94" s="1138" t="e">
        <f t="shared" si="2"/>
        <v>#VALUE!</v>
      </c>
      <c r="O94" s="1140" t="e">
        <f t="shared" si="3"/>
        <v>#VALUE!</v>
      </c>
    </row>
    <row r="95" spans="1:15" x14ac:dyDescent="0.2">
      <c r="A95" t="str">
        <f>IF('FORM E1'!B60="","",'FORM E1'!B60)</f>
        <v/>
      </c>
      <c r="B95" s="1136">
        <f>'FORM E1'!T60</f>
        <v>0</v>
      </c>
      <c r="C95" s="1139">
        <f>'FORM E1'!AB60</f>
        <v>0</v>
      </c>
      <c r="D95" s="1141" t="s">
        <v>3895</v>
      </c>
      <c r="E95" s="1142" t="s">
        <v>3896</v>
      </c>
      <c r="F95" s="1138" t="e">
        <f t="shared" si="0"/>
        <v>#VALUE!</v>
      </c>
      <c r="G95" s="1140" t="e">
        <f t="shared" si="1"/>
        <v>#VALUE!</v>
      </c>
      <c r="H95" s="1133"/>
      <c r="I95" t="str">
        <f>IF('FORM E2'!B60="","",'FORM E2'!B60)</f>
        <v/>
      </c>
      <c r="J95" s="1136">
        <f>'FORM E2'!X60</f>
        <v>0</v>
      </c>
      <c r="K95" s="1139">
        <f>'FORM E2'!AK60</f>
        <v>0</v>
      </c>
      <c r="L95" s="1141" t="s">
        <v>3897</v>
      </c>
      <c r="M95" s="1142" t="s">
        <v>3898</v>
      </c>
      <c r="N95" s="1138" t="e">
        <f t="shared" si="2"/>
        <v>#VALUE!</v>
      </c>
      <c r="O95" s="1140" t="e">
        <f t="shared" si="3"/>
        <v>#VALUE!</v>
      </c>
    </row>
    <row r="96" spans="1:15" x14ac:dyDescent="0.2">
      <c r="A96" t="str">
        <f>IF('FORM E1'!B61="","",'FORM E1'!B61)</f>
        <v/>
      </c>
      <c r="B96" s="1136">
        <f>'FORM E1'!T61</f>
        <v>0</v>
      </c>
      <c r="C96" s="1139">
        <f>'FORM E1'!AB61</f>
        <v>0</v>
      </c>
      <c r="D96" s="1141" t="s">
        <v>3895</v>
      </c>
      <c r="E96" s="1142" t="s">
        <v>3896</v>
      </c>
      <c r="F96" s="1138" t="e">
        <f t="shared" si="0"/>
        <v>#VALUE!</v>
      </c>
      <c r="G96" s="1140" t="e">
        <f t="shared" si="1"/>
        <v>#VALUE!</v>
      </c>
      <c r="H96" s="1133"/>
      <c r="I96" t="str">
        <f>IF('FORM E2'!B61="","",'FORM E2'!B61)</f>
        <v/>
      </c>
      <c r="J96" s="1136">
        <f>'FORM E2'!X61</f>
        <v>0</v>
      </c>
      <c r="K96" s="1139">
        <f>'FORM E2'!AK61</f>
        <v>0</v>
      </c>
      <c r="L96" s="1141" t="s">
        <v>3897</v>
      </c>
      <c r="M96" s="1142" t="s">
        <v>3898</v>
      </c>
      <c r="N96" s="1138" t="e">
        <f t="shared" si="2"/>
        <v>#VALUE!</v>
      </c>
      <c r="O96" s="1140" t="e">
        <f t="shared" si="3"/>
        <v>#VALUE!</v>
      </c>
    </row>
    <row r="97" spans="1:15" x14ac:dyDescent="0.2">
      <c r="A97" t="str">
        <f>IF('FORM E1'!B62="","",'FORM E1'!B62)</f>
        <v/>
      </c>
      <c r="B97" s="1136">
        <f>'FORM E1'!T62</f>
        <v>0</v>
      </c>
      <c r="C97" s="1139">
        <f>'FORM E1'!AB62</f>
        <v>0</v>
      </c>
      <c r="D97" s="1141" t="s">
        <v>3895</v>
      </c>
      <c r="E97" s="1142" t="s">
        <v>3896</v>
      </c>
      <c r="F97" s="1138" t="e">
        <f t="shared" si="0"/>
        <v>#VALUE!</v>
      </c>
      <c r="G97" s="1140" t="e">
        <f t="shared" si="1"/>
        <v>#VALUE!</v>
      </c>
      <c r="H97" s="1133"/>
      <c r="I97" t="str">
        <f>IF('FORM E2'!B62="","",'FORM E2'!B62)</f>
        <v/>
      </c>
      <c r="J97" s="1136">
        <f>'FORM E2'!X62</f>
        <v>0</v>
      </c>
      <c r="K97" s="1139">
        <f>'FORM E2'!AK62</f>
        <v>0</v>
      </c>
      <c r="L97" s="1141" t="s">
        <v>3897</v>
      </c>
      <c r="M97" s="1142" t="s">
        <v>3898</v>
      </c>
      <c r="N97" s="1138" t="e">
        <f t="shared" si="2"/>
        <v>#VALUE!</v>
      </c>
      <c r="O97" s="1140" t="e">
        <f t="shared" si="3"/>
        <v>#VALUE!</v>
      </c>
    </row>
    <row r="98" spans="1:15" x14ac:dyDescent="0.2">
      <c r="A98" t="str">
        <f>IF('FORM E1'!B63="","",'FORM E1'!B63)</f>
        <v/>
      </c>
      <c r="B98" s="1136">
        <f>'FORM E1'!T63</f>
        <v>0</v>
      </c>
      <c r="C98" s="1139">
        <f>'FORM E1'!AB63</f>
        <v>0</v>
      </c>
      <c r="D98" s="1141" t="s">
        <v>3895</v>
      </c>
      <c r="E98" s="1142" t="s">
        <v>3896</v>
      </c>
      <c r="F98" s="1138" t="e">
        <f t="shared" si="0"/>
        <v>#VALUE!</v>
      </c>
      <c r="G98" s="1140" t="e">
        <f t="shared" si="1"/>
        <v>#VALUE!</v>
      </c>
      <c r="H98" s="1133"/>
      <c r="I98" t="str">
        <f>IF('FORM E2'!B63="","",'FORM E2'!B63)</f>
        <v/>
      </c>
      <c r="J98" s="1136">
        <f>'FORM E2'!X63</f>
        <v>0</v>
      </c>
      <c r="K98" s="1139">
        <f>'FORM E2'!AK63</f>
        <v>0</v>
      </c>
      <c r="L98" s="1141" t="s">
        <v>3897</v>
      </c>
      <c r="M98" s="1142" t="s">
        <v>3898</v>
      </c>
      <c r="N98" s="1138" t="e">
        <f t="shared" si="2"/>
        <v>#VALUE!</v>
      </c>
      <c r="O98" s="1140" t="e">
        <f t="shared" si="3"/>
        <v>#VALUE!</v>
      </c>
    </row>
    <row r="99" spans="1:15" x14ac:dyDescent="0.2">
      <c r="A99" t="str">
        <f>IF('FORM E1'!B64="","",'FORM E1'!B64)</f>
        <v/>
      </c>
      <c r="B99" s="1136">
        <f>'FORM E1'!T64</f>
        <v>0</v>
      </c>
      <c r="C99" s="1139">
        <f>'FORM E1'!AB64</f>
        <v>0</v>
      </c>
      <c r="D99" s="1141" t="s">
        <v>3895</v>
      </c>
      <c r="E99" s="1142" t="s">
        <v>3896</v>
      </c>
      <c r="F99" s="1138" t="e">
        <f t="shared" si="0"/>
        <v>#VALUE!</v>
      </c>
      <c r="G99" s="1140" t="e">
        <f t="shared" si="1"/>
        <v>#VALUE!</v>
      </c>
      <c r="H99" s="1133"/>
      <c r="I99" t="str">
        <f>IF('FORM E2'!B64="","",'FORM E2'!B64)</f>
        <v/>
      </c>
      <c r="J99" s="1136">
        <f>'FORM E2'!X64</f>
        <v>0</v>
      </c>
      <c r="K99" s="1139">
        <f>'FORM E2'!AK64</f>
        <v>0</v>
      </c>
      <c r="L99" s="1141" t="s">
        <v>3897</v>
      </c>
      <c r="M99" s="1142" t="s">
        <v>3898</v>
      </c>
      <c r="N99" s="1138" t="e">
        <f t="shared" si="2"/>
        <v>#VALUE!</v>
      </c>
      <c r="O99" s="1140" t="e">
        <f t="shared" si="3"/>
        <v>#VALUE!</v>
      </c>
    </row>
    <row r="100" spans="1:15" x14ac:dyDescent="0.2">
      <c r="A100" t="str">
        <f>IF('FORM E1'!B65="","",'FORM E1'!B65)</f>
        <v/>
      </c>
      <c r="B100" s="1136">
        <f>'FORM E1'!T65</f>
        <v>0</v>
      </c>
      <c r="C100" s="1139">
        <f>'FORM E1'!AB65</f>
        <v>0</v>
      </c>
      <c r="D100" s="1141" t="s">
        <v>3895</v>
      </c>
      <c r="E100" s="1142" t="s">
        <v>3896</v>
      </c>
      <c r="F100" s="1138" t="e">
        <f t="shared" si="0"/>
        <v>#VALUE!</v>
      </c>
      <c r="G100" s="1140" t="e">
        <f t="shared" si="1"/>
        <v>#VALUE!</v>
      </c>
      <c r="H100" s="1133"/>
      <c r="I100" t="str">
        <f>IF('FORM E2'!B65="","",'FORM E2'!B65)</f>
        <v/>
      </c>
      <c r="J100" s="1136">
        <f>'FORM E2'!X65</f>
        <v>0</v>
      </c>
      <c r="K100" s="1139">
        <f>'FORM E2'!AK65</f>
        <v>0</v>
      </c>
      <c r="L100" s="1141" t="s">
        <v>3897</v>
      </c>
      <c r="M100" s="1142" t="s">
        <v>3898</v>
      </c>
      <c r="N100" s="1138" t="e">
        <f t="shared" si="2"/>
        <v>#VALUE!</v>
      </c>
      <c r="O100" s="1140" t="e">
        <f t="shared" si="3"/>
        <v>#VALUE!</v>
      </c>
    </row>
    <row r="101" spans="1:15" x14ac:dyDescent="0.2">
      <c r="A101" t="str">
        <f>IF('FORM E1'!B66="","",'FORM E1'!B66)</f>
        <v/>
      </c>
      <c r="B101" s="1136">
        <f>'FORM E1'!T66</f>
        <v>0</v>
      </c>
      <c r="C101" s="1139">
        <f>'FORM E1'!AB66</f>
        <v>0</v>
      </c>
      <c r="D101" s="1141" t="s">
        <v>3895</v>
      </c>
      <c r="E101" s="1142" t="s">
        <v>3896</v>
      </c>
      <c r="F101" s="1138" t="e">
        <f t="shared" si="0"/>
        <v>#VALUE!</v>
      </c>
      <c r="G101" s="1140" t="e">
        <f t="shared" si="1"/>
        <v>#VALUE!</v>
      </c>
      <c r="H101" s="1133"/>
      <c r="I101" t="str">
        <f>IF('FORM E2'!B66="","",'FORM E2'!B66)</f>
        <v/>
      </c>
      <c r="J101" s="1136">
        <f>'FORM E2'!X66</f>
        <v>0</v>
      </c>
      <c r="K101" s="1139">
        <f>'FORM E2'!AK66</f>
        <v>0</v>
      </c>
      <c r="L101" s="1141" t="s">
        <v>3897</v>
      </c>
      <c r="M101" s="1142" t="s">
        <v>3898</v>
      </c>
      <c r="N101" s="1138" t="e">
        <f t="shared" si="2"/>
        <v>#VALUE!</v>
      </c>
      <c r="O101" s="1140" t="e">
        <f t="shared" si="3"/>
        <v>#VALUE!</v>
      </c>
    </row>
    <row r="102" spans="1:15" x14ac:dyDescent="0.2">
      <c r="A102" t="str">
        <f>IF('FORM E1'!B67="","",'FORM E1'!B67)</f>
        <v/>
      </c>
      <c r="B102" s="1136">
        <f>'FORM E1'!T67</f>
        <v>0</v>
      </c>
      <c r="C102" s="1139">
        <f>'FORM E1'!AB67</f>
        <v>0</v>
      </c>
      <c r="D102" s="1141" t="s">
        <v>3895</v>
      </c>
      <c r="E102" s="1142" t="s">
        <v>3896</v>
      </c>
      <c r="F102" s="1138" t="e">
        <f t="shared" si="0"/>
        <v>#VALUE!</v>
      </c>
      <c r="G102" s="1140" t="e">
        <f t="shared" si="1"/>
        <v>#VALUE!</v>
      </c>
      <c r="H102" s="1133"/>
      <c r="I102" t="str">
        <f>IF('FORM E2'!B67="","",'FORM E2'!B67)</f>
        <v/>
      </c>
      <c r="J102" s="1136">
        <f>'FORM E2'!X67</f>
        <v>0</v>
      </c>
      <c r="K102" s="1139">
        <f>'FORM E2'!AK67</f>
        <v>0</v>
      </c>
      <c r="L102" s="1141" t="s">
        <v>3897</v>
      </c>
      <c r="M102" s="1142" t="s">
        <v>3898</v>
      </c>
      <c r="N102" s="1138" t="e">
        <f t="shared" si="2"/>
        <v>#VALUE!</v>
      </c>
      <c r="O102" s="1140" t="e">
        <f t="shared" si="3"/>
        <v>#VALUE!</v>
      </c>
    </row>
    <row r="103" spans="1:15" x14ac:dyDescent="0.2">
      <c r="A103" t="str">
        <f>IF('FORM E1'!B68="","",'FORM E1'!B68)</f>
        <v/>
      </c>
      <c r="B103" s="1136">
        <f>'FORM E1'!T68</f>
        <v>0</v>
      </c>
      <c r="C103" s="1139">
        <f>'FORM E1'!AB68</f>
        <v>0</v>
      </c>
      <c r="D103" s="1141" t="s">
        <v>3895</v>
      </c>
      <c r="E103" s="1142" t="s">
        <v>3896</v>
      </c>
      <c r="F103" s="1138" t="e">
        <f t="shared" si="0"/>
        <v>#VALUE!</v>
      </c>
      <c r="G103" s="1140" t="e">
        <f t="shared" si="1"/>
        <v>#VALUE!</v>
      </c>
      <c r="H103" s="1133"/>
      <c r="I103" t="str">
        <f>IF('FORM E2'!B68="","",'FORM E2'!B68)</f>
        <v/>
      </c>
      <c r="J103" s="1136">
        <f>'FORM E2'!X68</f>
        <v>0</v>
      </c>
      <c r="K103" s="1139">
        <f>'FORM E2'!AK68</f>
        <v>0</v>
      </c>
      <c r="L103" s="1141" t="s">
        <v>3897</v>
      </c>
      <c r="M103" s="1142" t="s">
        <v>3898</v>
      </c>
      <c r="N103" s="1138" t="e">
        <f t="shared" si="2"/>
        <v>#VALUE!</v>
      </c>
      <c r="O103" s="1140" t="e">
        <f t="shared" si="3"/>
        <v>#VALUE!</v>
      </c>
    </row>
    <row r="104" spans="1:15" x14ac:dyDescent="0.2">
      <c r="A104" t="str">
        <f>IF('FORM E1'!B69="","",'FORM E1'!B69)</f>
        <v/>
      </c>
      <c r="B104" s="1136">
        <f>'FORM E1'!T69</f>
        <v>0</v>
      </c>
      <c r="C104" s="1139">
        <f>'FORM E1'!AB69</f>
        <v>0</v>
      </c>
      <c r="D104" s="1141" t="s">
        <v>3895</v>
      </c>
      <c r="E104" s="1142" t="s">
        <v>3896</v>
      </c>
      <c r="F104" s="1138" t="e">
        <f t="shared" si="0"/>
        <v>#VALUE!</v>
      </c>
      <c r="G104" s="1140" t="e">
        <f t="shared" si="1"/>
        <v>#VALUE!</v>
      </c>
      <c r="H104" s="1133"/>
      <c r="I104" t="str">
        <f>IF('FORM E2'!B69="","",'FORM E2'!B69)</f>
        <v/>
      </c>
      <c r="J104" s="1136">
        <f>'FORM E2'!X69</f>
        <v>0</v>
      </c>
      <c r="K104" s="1139">
        <f>'FORM E2'!AK69</f>
        <v>0</v>
      </c>
      <c r="L104" s="1141" t="s">
        <v>3897</v>
      </c>
      <c r="M104" s="1142" t="s">
        <v>3898</v>
      </c>
      <c r="N104" s="1138" t="e">
        <f t="shared" si="2"/>
        <v>#VALUE!</v>
      </c>
      <c r="O104" s="1140" t="e">
        <f t="shared" si="3"/>
        <v>#VALUE!</v>
      </c>
    </row>
    <row r="105" spans="1:15" x14ac:dyDescent="0.2">
      <c r="A105" t="str">
        <f>IF('FORM E1'!B70="","",'FORM E1'!B70)</f>
        <v/>
      </c>
      <c r="B105" s="1136">
        <f>'FORM E1'!T70</f>
        <v>0</v>
      </c>
      <c r="C105" s="1139">
        <f>'FORM E1'!AB70</f>
        <v>0</v>
      </c>
      <c r="D105" s="1141" t="s">
        <v>3895</v>
      </c>
      <c r="E105" s="1142" t="s">
        <v>3896</v>
      </c>
      <c r="F105" s="1138" t="e">
        <f t="shared" si="0"/>
        <v>#VALUE!</v>
      </c>
      <c r="G105" s="1140" t="e">
        <f t="shared" si="1"/>
        <v>#VALUE!</v>
      </c>
      <c r="H105" s="1133"/>
      <c r="I105" t="str">
        <f>IF('FORM E2'!B70="","",'FORM E2'!B70)</f>
        <v/>
      </c>
      <c r="J105" s="1136">
        <f>'FORM E2'!X70</f>
        <v>0</v>
      </c>
      <c r="K105" s="1139">
        <f>'FORM E2'!AK70</f>
        <v>0</v>
      </c>
      <c r="L105" s="1141" t="s">
        <v>3897</v>
      </c>
      <c r="M105" s="1142" t="s">
        <v>3898</v>
      </c>
      <c r="N105" s="1138" t="e">
        <f t="shared" si="2"/>
        <v>#VALUE!</v>
      </c>
      <c r="O105" s="1140" t="e">
        <f t="shared" si="3"/>
        <v>#VALUE!</v>
      </c>
    </row>
    <row r="106" spans="1:15" x14ac:dyDescent="0.2">
      <c r="A106" t="str">
        <f>IF('FORM E1'!B71="","",'FORM E1'!B71)</f>
        <v/>
      </c>
      <c r="B106" s="1136">
        <f>'FORM E1'!T71</f>
        <v>0</v>
      </c>
      <c r="C106" s="1139">
        <f>'FORM E1'!AB71</f>
        <v>0</v>
      </c>
      <c r="D106" s="1141" t="s">
        <v>3895</v>
      </c>
      <c r="E106" s="1142" t="s">
        <v>3896</v>
      </c>
      <c r="F106" s="1138" t="e">
        <f t="shared" si="0"/>
        <v>#VALUE!</v>
      </c>
      <c r="G106" s="1140" t="e">
        <f t="shared" si="1"/>
        <v>#VALUE!</v>
      </c>
      <c r="H106" s="1133"/>
      <c r="I106" t="str">
        <f>IF('FORM E2'!B71="","",'FORM E2'!B71)</f>
        <v/>
      </c>
      <c r="J106" s="1136">
        <f>'FORM E2'!X71</f>
        <v>0</v>
      </c>
      <c r="K106" s="1139">
        <f>'FORM E2'!AK71</f>
        <v>0</v>
      </c>
      <c r="L106" s="1141" t="s">
        <v>3897</v>
      </c>
      <c r="M106" s="1142" t="s">
        <v>3898</v>
      </c>
      <c r="N106" s="1138" t="e">
        <f t="shared" si="2"/>
        <v>#VALUE!</v>
      </c>
      <c r="O106" s="1140" t="e">
        <f t="shared" si="3"/>
        <v>#VALUE!</v>
      </c>
    </row>
    <row r="107" spans="1:15" x14ac:dyDescent="0.2">
      <c r="A107" t="str">
        <f>IF('FORM E1'!B72="","",'FORM E1'!B72)</f>
        <v/>
      </c>
      <c r="B107" s="1136">
        <f>'FORM E1'!T72</f>
        <v>0</v>
      </c>
      <c r="C107" s="1139">
        <f>'FORM E1'!AB72</f>
        <v>0</v>
      </c>
      <c r="D107" s="1141" t="s">
        <v>3895</v>
      </c>
      <c r="E107" s="1142" t="s">
        <v>3896</v>
      </c>
      <c r="F107" s="1138" t="e">
        <f t="shared" si="0"/>
        <v>#VALUE!</v>
      </c>
      <c r="G107" s="1140" t="e">
        <f t="shared" si="1"/>
        <v>#VALUE!</v>
      </c>
      <c r="H107" s="1133"/>
      <c r="I107" t="str">
        <f>IF('FORM E2'!B72="","",'FORM E2'!B72)</f>
        <v/>
      </c>
      <c r="J107" s="1136">
        <f>'FORM E2'!X72</f>
        <v>0</v>
      </c>
      <c r="K107" s="1139">
        <f>'FORM E2'!AK72</f>
        <v>0</v>
      </c>
      <c r="L107" s="1141" t="s">
        <v>3897</v>
      </c>
      <c r="M107" s="1142" t="s">
        <v>3898</v>
      </c>
      <c r="N107" s="1138" t="e">
        <f t="shared" si="2"/>
        <v>#VALUE!</v>
      </c>
      <c r="O107" s="1140" t="e">
        <f t="shared" si="3"/>
        <v>#VALUE!</v>
      </c>
    </row>
    <row r="108" spans="1:15" x14ac:dyDescent="0.2">
      <c r="A108" t="str">
        <f>IF('FORM E1'!B73="","",'FORM E1'!B73)</f>
        <v/>
      </c>
      <c r="B108" s="1136">
        <f>'FORM E1'!T73</f>
        <v>0</v>
      </c>
      <c r="C108" s="1139">
        <f>'FORM E1'!AB73</f>
        <v>0</v>
      </c>
      <c r="D108" s="1141" t="s">
        <v>3895</v>
      </c>
      <c r="E108" s="1142" t="s">
        <v>3896</v>
      </c>
      <c r="F108" s="1138" t="e">
        <f t="shared" si="0"/>
        <v>#VALUE!</v>
      </c>
      <c r="G108" s="1140" t="e">
        <f t="shared" si="1"/>
        <v>#VALUE!</v>
      </c>
      <c r="H108" s="1133"/>
      <c r="I108" t="str">
        <f>IF('FORM E2'!B73="","",'FORM E2'!B73)</f>
        <v/>
      </c>
      <c r="J108" s="1136">
        <f>'FORM E2'!X73</f>
        <v>0</v>
      </c>
      <c r="K108" s="1139">
        <f>'FORM E2'!AK73</f>
        <v>0</v>
      </c>
      <c r="L108" s="1141" t="s">
        <v>3897</v>
      </c>
      <c r="M108" s="1142" t="s">
        <v>3898</v>
      </c>
      <c r="N108" s="1138" t="e">
        <f t="shared" si="2"/>
        <v>#VALUE!</v>
      </c>
      <c r="O108" s="1140" t="e">
        <f t="shared" si="3"/>
        <v>#VALUE!</v>
      </c>
    </row>
    <row r="109" spans="1:15" x14ac:dyDescent="0.2">
      <c r="A109" t="str">
        <f>IF('FORM E1'!B74="","",'FORM E1'!B74)</f>
        <v/>
      </c>
      <c r="B109" s="1136">
        <f>'FORM E1'!T74</f>
        <v>0</v>
      </c>
      <c r="C109" s="1139">
        <f>'FORM E1'!AB74</f>
        <v>0</v>
      </c>
      <c r="D109" s="1141" t="s">
        <v>3895</v>
      </c>
      <c r="E109" s="1142" t="s">
        <v>3896</v>
      </c>
      <c r="F109" s="1138" t="e">
        <f t="shared" si="0"/>
        <v>#VALUE!</v>
      </c>
      <c r="G109" s="1140" t="e">
        <f t="shared" si="1"/>
        <v>#VALUE!</v>
      </c>
      <c r="H109" s="1133"/>
      <c r="I109" t="str">
        <f>IF('FORM E2'!B74="","",'FORM E2'!B74)</f>
        <v/>
      </c>
      <c r="J109" s="1136">
        <f>'FORM E2'!X74</f>
        <v>0</v>
      </c>
      <c r="K109" s="1139">
        <f>'FORM E2'!AK74</f>
        <v>0</v>
      </c>
      <c r="L109" s="1141" t="s">
        <v>3897</v>
      </c>
      <c r="M109" s="1142" t="s">
        <v>3898</v>
      </c>
      <c r="N109" s="1138" t="e">
        <f t="shared" si="2"/>
        <v>#VALUE!</v>
      </c>
      <c r="O109" s="1140" t="e">
        <f t="shared" si="3"/>
        <v>#VALUE!</v>
      </c>
    </row>
    <row r="110" spans="1:15" x14ac:dyDescent="0.2">
      <c r="A110" t="str">
        <f>IF('FORM E1'!B75="","",'FORM E1'!B75)</f>
        <v/>
      </c>
      <c r="B110" s="1136">
        <f>'FORM E1'!T75</f>
        <v>0</v>
      </c>
      <c r="C110" s="1139">
        <f>'FORM E1'!AB75</f>
        <v>0</v>
      </c>
      <c r="D110" s="1141" t="s">
        <v>3895</v>
      </c>
      <c r="E110" s="1142" t="s">
        <v>3896</v>
      </c>
      <c r="F110" s="1138" t="e">
        <f t="shared" ref="F110:F144" si="4">B110-D110</f>
        <v>#VALUE!</v>
      </c>
      <c r="G110" s="1140" t="e">
        <f t="shared" ref="G110:G144" si="5">C110-E110</f>
        <v>#VALUE!</v>
      </c>
      <c r="H110" s="1133"/>
      <c r="I110" t="str">
        <f>IF('FORM E2'!B75="","",'FORM E2'!B75)</f>
        <v/>
      </c>
      <c r="J110" s="1136">
        <f>'FORM E2'!X75</f>
        <v>0</v>
      </c>
      <c r="K110" s="1139">
        <f>'FORM E2'!AK75</f>
        <v>0</v>
      </c>
      <c r="L110" s="1141" t="s">
        <v>3897</v>
      </c>
      <c r="M110" s="1142" t="s">
        <v>3898</v>
      </c>
      <c r="N110" s="1138" t="e">
        <f t="shared" ref="N110:N144" si="6">J110-L110</f>
        <v>#VALUE!</v>
      </c>
      <c r="O110" s="1140" t="e">
        <f t="shared" ref="O110:O144" si="7">K110-M110</f>
        <v>#VALUE!</v>
      </c>
    </row>
    <row r="111" spans="1:15" x14ac:dyDescent="0.2">
      <c r="A111" t="str">
        <f>IF('FORM E1'!B76="","",'FORM E1'!B76)</f>
        <v/>
      </c>
      <c r="B111" s="1136">
        <f>'FORM E1'!T76</f>
        <v>0</v>
      </c>
      <c r="C111" s="1139">
        <f>'FORM E1'!AB76</f>
        <v>0</v>
      </c>
      <c r="D111" s="1141" t="s">
        <v>3895</v>
      </c>
      <c r="E111" s="1142" t="s">
        <v>3896</v>
      </c>
      <c r="F111" s="1138" t="e">
        <f t="shared" si="4"/>
        <v>#VALUE!</v>
      </c>
      <c r="G111" s="1140" t="e">
        <f t="shared" si="5"/>
        <v>#VALUE!</v>
      </c>
      <c r="H111" s="1133"/>
      <c r="I111" t="str">
        <f>IF('FORM E2'!B76="","",'FORM E2'!B76)</f>
        <v/>
      </c>
      <c r="J111" s="1136">
        <f>'FORM E2'!X76</f>
        <v>0</v>
      </c>
      <c r="K111" s="1139">
        <f>'FORM E2'!AK76</f>
        <v>0</v>
      </c>
      <c r="L111" s="1141" t="s">
        <v>3897</v>
      </c>
      <c r="M111" s="1142" t="s">
        <v>3898</v>
      </c>
      <c r="N111" s="1138" t="e">
        <f t="shared" si="6"/>
        <v>#VALUE!</v>
      </c>
      <c r="O111" s="1140" t="e">
        <f t="shared" si="7"/>
        <v>#VALUE!</v>
      </c>
    </row>
    <row r="112" spans="1:15" x14ac:dyDescent="0.2">
      <c r="A112" t="str">
        <f>IF('FORM E1'!B77="","",'FORM E1'!B77)</f>
        <v/>
      </c>
      <c r="B112" s="1136">
        <f>'FORM E1'!T77</f>
        <v>0</v>
      </c>
      <c r="C112" s="1139">
        <f>'FORM E1'!AB77</f>
        <v>0</v>
      </c>
      <c r="D112" s="1141" t="s">
        <v>3895</v>
      </c>
      <c r="E112" s="1142" t="s">
        <v>3896</v>
      </c>
      <c r="F112" s="1138" t="e">
        <f t="shared" si="4"/>
        <v>#VALUE!</v>
      </c>
      <c r="G112" s="1140" t="e">
        <f t="shared" si="5"/>
        <v>#VALUE!</v>
      </c>
      <c r="H112" s="1133"/>
      <c r="I112" t="str">
        <f>IF('FORM E2'!B77="","",'FORM E2'!B77)</f>
        <v/>
      </c>
      <c r="J112" s="1136">
        <f>'FORM E2'!X77</f>
        <v>0</v>
      </c>
      <c r="K112" s="1139">
        <f>'FORM E2'!AK77</f>
        <v>0</v>
      </c>
      <c r="L112" s="1141" t="s">
        <v>3897</v>
      </c>
      <c r="M112" s="1142" t="s">
        <v>3898</v>
      </c>
      <c r="N112" s="1138" t="e">
        <f t="shared" si="6"/>
        <v>#VALUE!</v>
      </c>
      <c r="O112" s="1140" t="e">
        <f t="shared" si="7"/>
        <v>#VALUE!</v>
      </c>
    </row>
    <row r="113" spans="1:15" x14ac:dyDescent="0.2">
      <c r="A113" t="str">
        <f>IF('FORM E1'!B78="","",'FORM E1'!B78)</f>
        <v/>
      </c>
      <c r="B113" s="1136">
        <f>'FORM E1'!T78</f>
        <v>0</v>
      </c>
      <c r="C113" s="1139">
        <f>'FORM E1'!AB78</f>
        <v>0</v>
      </c>
      <c r="D113" s="1141" t="s">
        <v>3895</v>
      </c>
      <c r="E113" s="1142" t="s">
        <v>3896</v>
      </c>
      <c r="F113" s="1138" t="e">
        <f t="shared" si="4"/>
        <v>#VALUE!</v>
      </c>
      <c r="G113" s="1140" t="e">
        <f t="shared" si="5"/>
        <v>#VALUE!</v>
      </c>
      <c r="H113" s="1133"/>
      <c r="I113" t="str">
        <f>IF('FORM E2'!B78="","",'FORM E2'!B78)</f>
        <v/>
      </c>
      <c r="J113" s="1136">
        <f>'FORM E2'!X78</f>
        <v>0</v>
      </c>
      <c r="K113" s="1139">
        <f>'FORM E2'!AK78</f>
        <v>0</v>
      </c>
      <c r="L113" s="1141" t="s">
        <v>3897</v>
      </c>
      <c r="M113" s="1142" t="s">
        <v>3898</v>
      </c>
      <c r="N113" s="1138" t="e">
        <f t="shared" si="6"/>
        <v>#VALUE!</v>
      </c>
      <c r="O113" s="1140" t="e">
        <f t="shared" si="7"/>
        <v>#VALUE!</v>
      </c>
    </row>
    <row r="114" spans="1:15" x14ac:dyDescent="0.2">
      <c r="A114" t="str">
        <f>IF('FORM E1'!B79="","",'FORM E1'!B79)</f>
        <v/>
      </c>
      <c r="B114" s="1136">
        <f>'FORM E1'!T79</f>
        <v>0</v>
      </c>
      <c r="C114" s="1139">
        <f>'FORM E1'!AB79</f>
        <v>0</v>
      </c>
      <c r="D114" s="1141" t="s">
        <v>3895</v>
      </c>
      <c r="E114" s="1142" t="s">
        <v>3896</v>
      </c>
      <c r="F114" s="1138" t="e">
        <f t="shared" si="4"/>
        <v>#VALUE!</v>
      </c>
      <c r="G114" s="1140" t="e">
        <f t="shared" si="5"/>
        <v>#VALUE!</v>
      </c>
      <c r="H114" s="1133"/>
      <c r="I114" t="str">
        <f>IF('FORM E2'!B79="","",'FORM E2'!B79)</f>
        <v/>
      </c>
      <c r="J114" s="1136">
        <f>'FORM E2'!X79</f>
        <v>0</v>
      </c>
      <c r="K114" s="1139">
        <f>'FORM E2'!AK79</f>
        <v>0</v>
      </c>
      <c r="L114" s="1141" t="s">
        <v>3897</v>
      </c>
      <c r="M114" s="1142" t="s">
        <v>3898</v>
      </c>
      <c r="N114" s="1138" t="e">
        <f t="shared" si="6"/>
        <v>#VALUE!</v>
      </c>
      <c r="O114" s="1140" t="e">
        <f t="shared" si="7"/>
        <v>#VALUE!</v>
      </c>
    </row>
    <row r="115" spans="1:15" x14ac:dyDescent="0.2">
      <c r="A115" t="str">
        <f>IF('FORM E1'!B80="","",'FORM E1'!B80)</f>
        <v/>
      </c>
      <c r="B115" s="1136">
        <f>'FORM E1'!T80</f>
        <v>0</v>
      </c>
      <c r="C115" s="1139">
        <f>'FORM E1'!AB80</f>
        <v>0</v>
      </c>
      <c r="D115" s="1141" t="s">
        <v>3895</v>
      </c>
      <c r="E115" s="1142" t="s">
        <v>3896</v>
      </c>
      <c r="F115" s="1138" t="e">
        <f t="shared" si="4"/>
        <v>#VALUE!</v>
      </c>
      <c r="G115" s="1140" t="e">
        <f t="shared" si="5"/>
        <v>#VALUE!</v>
      </c>
      <c r="H115" s="1133"/>
      <c r="I115" t="str">
        <f>IF('FORM E2'!B80="","",'FORM E2'!B80)</f>
        <v/>
      </c>
      <c r="J115" s="1136">
        <f>'FORM E2'!X80</f>
        <v>0</v>
      </c>
      <c r="K115" s="1139">
        <f>'FORM E2'!AK80</f>
        <v>0</v>
      </c>
      <c r="L115" s="1141" t="s">
        <v>3897</v>
      </c>
      <c r="M115" s="1142" t="s">
        <v>3898</v>
      </c>
      <c r="N115" s="1138" t="e">
        <f t="shared" si="6"/>
        <v>#VALUE!</v>
      </c>
      <c r="O115" s="1140" t="e">
        <f t="shared" si="7"/>
        <v>#VALUE!</v>
      </c>
    </row>
    <row r="116" spans="1:15" x14ac:dyDescent="0.2">
      <c r="A116" t="str">
        <f>IF('FORM E1'!B81="","",'FORM E1'!B81)</f>
        <v/>
      </c>
      <c r="B116" s="1136">
        <f>'FORM E1'!T81</f>
        <v>0</v>
      </c>
      <c r="C116" s="1139">
        <f>'FORM E1'!AB81</f>
        <v>0</v>
      </c>
      <c r="D116" s="1141" t="s">
        <v>3895</v>
      </c>
      <c r="E116" s="1142" t="s">
        <v>3896</v>
      </c>
      <c r="F116" s="1138" t="e">
        <f t="shared" si="4"/>
        <v>#VALUE!</v>
      </c>
      <c r="G116" s="1140" t="e">
        <f t="shared" si="5"/>
        <v>#VALUE!</v>
      </c>
      <c r="H116" s="1133"/>
      <c r="I116" t="str">
        <f>IF('FORM E2'!B81="","",'FORM E2'!B81)</f>
        <v/>
      </c>
      <c r="J116" s="1136">
        <f>'FORM E2'!X81</f>
        <v>0</v>
      </c>
      <c r="K116" s="1139">
        <f>'FORM E2'!AK81</f>
        <v>0</v>
      </c>
      <c r="L116" s="1141" t="s">
        <v>3897</v>
      </c>
      <c r="M116" s="1142" t="s">
        <v>3898</v>
      </c>
      <c r="N116" s="1138" t="e">
        <f t="shared" si="6"/>
        <v>#VALUE!</v>
      </c>
      <c r="O116" s="1140" t="e">
        <f t="shared" si="7"/>
        <v>#VALUE!</v>
      </c>
    </row>
    <row r="117" spans="1:15" x14ac:dyDescent="0.2">
      <c r="A117" t="str">
        <f>IF('FORM E1'!B82="","",'FORM E1'!B82)</f>
        <v/>
      </c>
      <c r="B117" s="1136">
        <f>'FORM E1'!T82</f>
        <v>0</v>
      </c>
      <c r="C117" s="1139">
        <f>'FORM E1'!AB82</f>
        <v>0</v>
      </c>
      <c r="D117" s="1141" t="s">
        <v>3895</v>
      </c>
      <c r="E117" s="1142" t="s">
        <v>3896</v>
      </c>
      <c r="F117" s="1138" t="e">
        <f t="shared" si="4"/>
        <v>#VALUE!</v>
      </c>
      <c r="G117" s="1140" t="e">
        <f t="shared" si="5"/>
        <v>#VALUE!</v>
      </c>
      <c r="H117" s="1133"/>
      <c r="I117" t="str">
        <f>IF('FORM E2'!B82="","",'FORM E2'!B82)</f>
        <v/>
      </c>
      <c r="J117" s="1136">
        <f>'FORM E2'!X82</f>
        <v>0</v>
      </c>
      <c r="K117" s="1139">
        <f>'FORM E2'!AK82</f>
        <v>0</v>
      </c>
      <c r="L117" s="1141" t="s">
        <v>3897</v>
      </c>
      <c r="M117" s="1142" t="s">
        <v>3898</v>
      </c>
      <c r="N117" s="1138" t="e">
        <f t="shared" si="6"/>
        <v>#VALUE!</v>
      </c>
      <c r="O117" s="1140" t="e">
        <f t="shared" si="7"/>
        <v>#VALUE!</v>
      </c>
    </row>
    <row r="118" spans="1:15" x14ac:dyDescent="0.2">
      <c r="A118" t="str">
        <f>IF('FORM E1'!B83="","",'FORM E1'!B83)</f>
        <v/>
      </c>
      <c r="B118" s="1136">
        <f>'FORM E1'!T83</f>
        <v>0</v>
      </c>
      <c r="C118" s="1139">
        <f>'FORM E1'!AB83</f>
        <v>0</v>
      </c>
      <c r="D118" s="1141" t="s">
        <v>3895</v>
      </c>
      <c r="E118" s="1142" t="s">
        <v>3896</v>
      </c>
      <c r="F118" s="1138" t="e">
        <f t="shared" si="4"/>
        <v>#VALUE!</v>
      </c>
      <c r="G118" s="1140" t="e">
        <f t="shared" si="5"/>
        <v>#VALUE!</v>
      </c>
      <c r="H118" s="1133"/>
      <c r="I118" t="str">
        <f>IF('FORM E2'!B83="","",'FORM E2'!B83)</f>
        <v/>
      </c>
      <c r="J118" s="1136">
        <f>'FORM E2'!X83</f>
        <v>0</v>
      </c>
      <c r="K118" s="1139">
        <f>'FORM E2'!AK83</f>
        <v>0</v>
      </c>
      <c r="L118" s="1141" t="s">
        <v>3897</v>
      </c>
      <c r="M118" s="1142" t="s">
        <v>3898</v>
      </c>
      <c r="N118" s="1138" t="e">
        <f t="shared" si="6"/>
        <v>#VALUE!</v>
      </c>
      <c r="O118" s="1140" t="e">
        <f t="shared" si="7"/>
        <v>#VALUE!</v>
      </c>
    </row>
    <row r="119" spans="1:15" x14ac:dyDescent="0.2">
      <c r="A119" t="str">
        <f>IF('FORM E1'!B84="","",'FORM E1'!B84)</f>
        <v/>
      </c>
      <c r="B119" s="1136">
        <f>'FORM E1'!T84</f>
        <v>0</v>
      </c>
      <c r="C119" s="1139">
        <f>'FORM E1'!AB84</f>
        <v>0</v>
      </c>
      <c r="D119" s="1141" t="s">
        <v>3895</v>
      </c>
      <c r="E119" s="1142" t="s">
        <v>3896</v>
      </c>
      <c r="F119" s="1138" t="e">
        <f t="shared" si="4"/>
        <v>#VALUE!</v>
      </c>
      <c r="G119" s="1140" t="e">
        <f t="shared" si="5"/>
        <v>#VALUE!</v>
      </c>
      <c r="H119" s="1133"/>
      <c r="I119" t="str">
        <f>IF('FORM E2'!B84="","",'FORM E2'!B84)</f>
        <v/>
      </c>
      <c r="J119" s="1136">
        <f>'FORM E2'!X84</f>
        <v>0</v>
      </c>
      <c r="K119" s="1139">
        <f>'FORM E2'!AK84</f>
        <v>0</v>
      </c>
      <c r="L119" s="1141" t="s">
        <v>3897</v>
      </c>
      <c r="M119" s="1142" t="s">
        <v>3898</v>
      </c>
      <c r="N119" s="1138" t="e">
        <f t="shared" si="6"/>
        <v>#VALUE!</v>
      </c>
      <c r="O119" s="1140" t="e">
        <f t="shared" si="7"/>
        <v>#VALUE!</v>
      </c>
    </row>
    <row r="120" spans="1:15" x14ac:dyDescent="0.2">
      <c r="A120" t="str">
        <f>IF('FORM E1'!B85="","",'FORM E1'!B85)</f>
        <v/>
      </c>
      <c r="B120" s="1136">
        <f>'FORM E1'!T85</f>
        <v>0</v>
      </c>
      <c r="C120" s="1139">
        <f>'FORM E1'!AB85</f>
        <v>0</v>
      </c>
      <c r="D120" s="1141" t="s">
        <v>3895</v>
      </c>
      <c r="E120" s="1142" t="s">
        <v>3896</v>
      </c>
      <c r="F120" s="1138" t="e">
        <f t="shared" si="4"/>
        <v>#VALUE!</v>
      </c>
      <c r="G120" s="1140" t="e">
        <f t="shared" si="5"/>
        <v>#VALUE!</v>
      </c>
      <c r="H120" s="1133"/>
      <c r="I120" t="str">
        <f>IF('FORM E2'!B85="","",'FORM E2'!B85)</f>
        <v/>
      </c>
      <c r="J120" s="1136">
        <f>'FORM E2'!X85</f>
        <v>0</v>
      </c>
      <c r="K120" s="1139">
        <f>'FORM E2'!AK85</f>
        <v>0</v>
      </c>
      <c r="L120" s="1141" t="s">
        <v>3897</v>
      </c>
      <c r="M120" s="1142" t="s">
        <v>3898</v>
      </c>
      <c r="N120" s="1138" t="e">
        <f t="shared" si="6"/>
        <v>#VALUE!</v>
      </c>
      <c r="O120" s="1140" t="e">
        <f t="shared" si="7"/>
        <v>#VALUE!</v>
      </c>
    </row>
    <row r="121" spans="1:15" x14ac:dyDescent="0.2">
      <c r="A121" t="str">
        <f>IF('FORM E1'!B86="","",'FORM E1'!B86)</f>
        <v/>
      </c>
      <c r="B121" s="1136">
        <f>'FORM E1'!T86</f>
        <v>0</v>
      </c>
      <c r="C121" s="1139">
        <f>'FORM E1'!AB86</f>
        <v>0</v>
      </c>
      <c r="D121" s="1141" t="s">
        <v>3895</v>
      </c>
      <c r="E121" s="1142" t="s">
        <v>3896</v>
      </c>
      <c r="F121" s="1138" t="e">
        <f t="shared" si="4"/>
        <v>#VALUE!</v>
      </c>
      <c r="G121" s="1140" t="e">
        <f t="shared" si="5"/>
        <v>#VALUE!</v>
      </c>
      <c r="H121" s="1133"/>
      <c r="I121" t="str">
        <f>IF('FORM E2'!B86="","",'FORM E2'!B86)</f>
        <v/>
      </c>
      <c r="J121" s="1136">
        <f>'FORM E2'!X86</f>
        <v>0</v>
      </c>
      <c r="K121" s="1139">
        <f>'FORM E2'!AK86</f>
        <v>0</v>
      </c>
      <c r="L121" s="1141" t="s">
        <v>3897</v>
      </c>
      <c r="M121" s="1142" t="s">
        <v>3898</v>
      </c>
      <c r="N121" s="1138" t="e">
        <f t="shared" si="6"/>
        <v>#VALUE!</v>
      </c>
      <c r="O121" s="1140" t="e">
        <f t="shared" si="7"/>
        <v>#VALUE!</v>
      </c>
    </row>
    <row r="122" spans="1:15" x14ac:dyDescent="0.2">
      <c r="A122" t="str">
        <f>IF('FORM E1'!B87="","",'FORM E1'!B87)</f>
        <v/>
      </c>
      <c r="B122" s="1136">
        <f>'FORM E1'!T87</f>
        <v>0</v>
      </c>
      <c r="C122" s="1139">
        <f>'FORM E1'!AB87</f>
        <v>0</v>
      </c>
      <c r="D122" s="1141" t="s">
        <v>3895</v>
      </c>
      <c r="E122" s="1142" t="s">
        <v>3896</v>
      </c>
      <c r="F122" s="1138" t="e">
        <f t="shared" si="4"/>
        <v>#VALUE!</v>
      </c>
      <c r="G122" s="1140" t="e">
        <f t="shared" si="5"/>
        <v>#VALUE!</v>
      </c>
      <c r="H122" s="1133"/>
      <c r="I122" t="str">
        <f>IF('FORM E2'!B87="","",'FORM E2'!B87)</f>
        <v/>
      </c>
      <c r="J122" s="1136">
        <f>'FORM E2'!X87</f>
        <v>0</v>
      </c>
      <c r="K122" s="1139">
        <f>'FORM E2'!AK87</f>
        <v>0</v>
      </c>
      <c r="L122" s="1141" t="s">
        <v>3897</v>
      </c>
      <c r="M122" s="1142" t="s">
        <v>3898</v>
      </c>
      <c r="N122" s="1138" t="e">
        <f t="shared" si="6"/>
        <v>#VALUE!</v>
      </c>
      <c r="O122" s="1140" t="e">
        <f t="shared" si="7"/>
        <v>#VALUE!</v>
      </c>
    </row>
    <row r="123" spans="1:15" x14ac:dyDescent="0.2">
      <c r="A123" t="str">
        <f>IF('FORM E1'!B88="","",'FORM E1'!B88)</f>
        <v/>
      </c>
      <c r="B123" s="1136">
        <f>'FORM E1'!T88</f>
        <v>0</v>
      </c>
      <c r="C123" s="1139">
        <f>'FORM E1'!AB88</f>
        <v>0</v>
      </c>
      <c r="D123" s="1141" t="s">
        <v>3895</v>
      </c>
      <c r="E123" s="1142" t="s">
        <v>3896</v>
      </c>
      <c r="F123" s="1138" t="e">
        <f t="shared" si="4"/>
        <v>#VALUE!</v>
      </c>
      <c r="G123" s="1140" t="e">
        <f t="shared" si="5"/>
        <v>#VALUE!</v>
      </c>
      <c r="H123" s="1133"/>
      <c r="I123" t="str">
        <f>IF('FORM E2'!B88="","",'FORM E2'!B88)</f>
        <v/>
      </c>
      <c r="J123" s="1136">
        <f>'FORM E2'!X88</f>
        <v>0</v>
      </c>
      <c r="K123" s="1139">
        <f>'FORM E2'!AK88</f>
        <v>0</v>
      </c>
      <c r="L123" s="1141" t="s">
        <v>3897</v>
      </c>
      <c r="M123" s="1142" t="s">
        <v>3898</v>
      </c>
      <c r="N123" s="1138" t="e">
        <f t="shared" si="6"/>
        <v>#VALUE!</v>
      </c>
      <c r="O123" s="1140" t="e">
        <f t="shared" si="7"/>
        <v>#VALUE!</v>
      </c>
    </row>
    <row r="124" spans="1:15" x14ac:dyDescent="0.2">
      <c r="A124" t="str">
        <f>IF('FORM E1'!B89="","",'FORM E1'!B89)</f>
        <v/>
      </c>
      <c r="B124" s="1136">
        <f>'FORM E1'!T89</f>
        <v>0</v>
      </c>
      <c r="C124" s="1139">
        <f>'FORM E1'!AB89</f>
        <v>0</v>
      </c>
      <c r="D124" s="1141" t="s">
        <v>3895</v>
      </c>
      <c r="E124" s="1142" t="s">
        <v>3896</v>
      </c>
      <c r="F124" s="1138" t="e">
        <f t="shared" si="4"/>
        <v>#VALUE!</v>
      </c>
      <c r="G124" s="1140" t="e">
        <f t="shared" si="5"/>
        <v>#VALUE!</v>
      </c>
      <c r="H124" s="1133"/>
      <c r="I124" t="str">
        <f>IF('FORM E2'!B89="","",'FORM E2'!B89)</f>
        <v/>
      </c>
      <c r="J124" s="1136">
        <f>'FORM E2'!X89</f>
        <v>0</v>
      </c>
      <c r="K124" s="1139">
        <f>'FORM E2'!AK89</f>
        <v>0</v>
      </c>
      <c r="L124" s="1141" t="s">
        <v>3897</v>
      </c>
      <c r="M124" s="1142" t="s">
        <v>3898</v>
      </c>
      <c r="N124" s="1138" t="e">
        <f t="shared" si="6"/>
        <v>#VALUE!</v>
      </c>
      <c r="O124" s="1140" t="e">
        <f t="shared" si="7"/>
        <v>#VALUE!</v>
      </c>
    </row>
    <row r="125" spans="1:15" x14ac:dyDescent="0.2">
      <c r="A125" t="str">
        <f>IF('FORM E1'!B90="","",'FORM E1'!B90)</f>
        <v/>
      </c>
      <c r="B125" s="1136">
        <f>'FORM E1'!T90</f>
        <v>0</v>
      </c>
      <c r="C125" s="1139">
        <f>'FORM E1'!AB90</f>
        <v>0</v>
      </c>
      <c r="D125" s="1141" t="s">
        <v>3895</v>
      </c>
      <c r="E125" s="1142" t="s">
        <v>3896</v>
      </c>
      <c r="F125" s="1138" t="e">
        <f t="shared" si="4"/>
        <v>#VALUE!</v>
      </c>
      <c r="G125" s="1140" t="e">
        <f t="shared" si="5"/>
        <v>#VALUE!</v>
      </c>
      <c r="H125" s="1133"/>
      <c r="I125" t="str">
        <f>IF('FORM E2'!B90="","",'FORM E2'!B90)</f>
        <v/>
      </c>
      <c r="J125" s="1136">
        <f>'FORM E2'!X90</f>
        <v>0</v>
      </c>
      <c r="K125" s="1139">
        <f>'FORM E2'!AK90</f>
        <v>0</v>
      </c>
      <c r="L125" s="1141" t="s">
        <v>3897</v>
      </c>
      <c r="M125" s="1142" t="s">
        <v>3898</v>
      </c>
      <c r="N125" s="1138" t="e">
        <f t="shared" si="6"/>
        <v>#VALUE!</v>
      </c>
      <c r="O125" s="1140" t="e">
        <f t="shared" si="7"/>
        <v>#VALUE!</v>
      </c>
    </row>
    <row r="126" spans="1:15" x14ac:dyDescent="0.2">
      <c r="A126" t="str">
        <f>IF('FORM E1'!B91="","",'FORM E1'!B91)</f>
        <v/>
      </c>
      <c r="B126" s="1136">
        <f>'FORM E1'!T91</f>
        <v>0</v>
      </c>
      <c r="C126" s="1139">
        <f>'FORM E1'!AB91</f>
        <v>0</v>
      </c>
      <c r="D126" s="1141" t="s">
        <v>3895</v>
      </c>
      <c r="E126" s="1142" t="s">
        <v>3896</v>
      </c>
      <c r="F126" s="1138" t="e">
        <f t="shared" si="4"/>
        <v>#VALUE!</v>
      </c>
      <c r="G126" s="1140" t="e">
        <f t="shared" si="5"/>
        <v>#VALUE!</v>
      </c>
      <c r="H126" s="1133"/>
      <c r="I126" t="str">
        <f>IF('FORM E2'!B91="","",'FORM E2'!B91)</f>
        <v/>
      </c>
      <c r="J126" s="1136">
        <f>'FORM E2'!X91</f>
        <v>0</v>
      </c>
      <c r="K126" s="1139">
        <f>'FORM E2'!AK91</f>
        <v>0</v>
      </c>
      <c r="L126" s="1141" t="s">
        <v>3897</v>
      </c>
      <c r="M126" s="1142" t="s">
        <v>3898</v>
      </c>
      <c r="N126" s="1138" t="e">
        <f t="shared" si="6"/>
        <v>#VALUE!</v>
      </c>
      <c r="O126" s="1140" t="e">
        <f t="shared" si="7"/>
        <v>#VALUE!</v>
      </c>
    </row>
    <row r="127" spans="1:15" x14ac:dyDescent="0.2">
      <c r="A127" t="str">
        <f>IF('FORM E1'!B92="","",'FORM E1'!B92)</f>
        <v/>
      </c>
      <c r="B127" s="1136">
        <f>'FORM E1'!T92</f>
        <v>0</v>
      </c>
      <c r="C127" s="1139">
        <f>'FORM E1'!AB92</f>
        <v>0</v>
      </c>
      <c r="D127" s="1141" t="s">
        <v>3895</v>
      </c>
      <c r="E127" s="1142" t="s">
        <v>3896</v>
      </c>
      <c r="F127" s="1138" t="e">
        <f t="shared" si="4"/>
        <v>#VALUE!</v>
      </c>
      <c r="G127" s="1140" t="e">
        <f t="shared" si="5"/>
        <v>#VALUE!</v>
      </c>
      <c r="H127" s="1133"/>
      <c r="I127" t="str">
        <f>IF('FORM E2'!B92="","",'FORM E2'!B92)</f>
        <v/>
      </c>
      <c r="J127" s="1136">
        <f>'FORM E2'!X92</f>
        <v>0</v>
      </c>
      <c r="K127" s="1139">
        <f>'FORM E2'!AK92</f>
        <v>0</v>
      </c>
      <c r="L127" s="1141" t="s">
        <v>3897</v>
      </c>
      <c r="M127" s="1142" t="s">
        <v>3898</v>
      </c>
      <c r="N127" s="1138" t="e">
        <f t="shared" si="6"/>
        <v>#VALUE!</v>
      </c>
      <c r="O127" s="1140" t="e">
        <f t="shared" si="7"/>
        <v>#VALUE!</v>
      </c>
    </row>
    <row r="128" spans="1:15" x14ac:dyDescent="0.2">
      <c r="A128" t="str">
        <f>IF('FORM E1'!B93="","",'FORM E1'!B93)</f>
        <v/>
      </c>
      <c r="B128" s="1136">
        <f>'FORM E1'!T93</f>
        <v>0</v>
      </c>
      <c r="C128" s="1139">
        <f>'FORM E1'!AB93</f>
        <v>0</v>
      </c>
      <c r="D128" s="1141" t="s">
        <v>3895</v>
      </c>
      <c r="E128" s="1142" t="s">
        <v>3896</v>
      </c>
      <c r="F128" s="1138" t="e">
        <f t="shared" si="4"/>
        <v>#VALUE!</v>
      </c>
      <c r="G128" s="1140" t="e">
        <f t="shared" si="5"/>
        <v>#VALUE!</v>
      </c>
      <c r="H128" s="1133"/>
      <c r="I128" t="str">
        <f>IF('FORM E2'!B93="","",'FORM E2'!B93)</f>
        <v/>
      </c>
      <c r="J128" s="1136">
        <f>'FORM E2'!X93</f>
        <v>0</v>
      </c>
      <c r="K128" s="1139">
        <f>'FORM E2'!AK93</f>
        <v>0</v>
      </c>
      <c r="L128" s="1141" t="s">
        <v>3897</v>
      </c>
      <c r="M128" s="1142" t="s">
        <v>3898</v>
      </c>
      <c r="N128" s="1138" t="e">
        <f t="shared" si="6"/>
        <v>#VALUE!</v>
      </c>
      <c r="O128" s="1140" t="e">
        <f t="shared" si="7"/>
        <v>#VALUE!</v>
      </c>
    </row>
    <row r="129" spans="1:15" x14ac:dyDescent="0.2">
      <c r="A129" t="str">
        <f>IF('FORM E1'!B94="","",'FORM E1'!B94)</f>
        <v/>
      </c>
      <c r="B129" s="1136">
        <f>'FORM E1'!T94</f>
        <v>0</v>
      </c>
      <c r="C129" s="1139">
        <f>'FORM E1'!AB94</f>
        <v>0</v>
      </c>
      <c r="D129" s="1141" t="s">
        <v>3895</v>
      </c>
      <c r="E129" s="1142" t="s">
        <v>3896</v>
      </c>
      <c r="F129" s="1138" t="e">
        <f t="shared" si="4"/>
        <v>#VALUE!</v>
      </c>
      <c r="G129" s="1140" t="e">
        <f t="shared" si="5"/>
        <v>#VALUE!</v>
      </c>
      <c r="H129" s="1133"/>
      <c r="I129" t="str">
        <f>IF('FORM E2'!B94="","",'FORM E2'!B94)</f>
        <v/>
      </c>
      <c r="J129" s="1136">
        <f>'FORM E2'!X94</f>
        <v>0</v>
      </c>
      <c r="K129" s="1139">
        <f>'FORM E2'!AK94</f>
        <v>0</v>
      </c>
      <c r="L129" s="1141" t="s">
        <v>3897</v>
      </c>
      <c r="M129" s="1142" t="s">
        <v>3898</v>
      </c>
      <c r="N129" s="1138" t="e">
        <f t="shared" si="6"/>
        <v>#VALUE!</v>
      </c>
      <c r="O129" s="1140" t="e">
        <f t="shared" si="7"/>
        <v>#VALUE!</v>
      </c>
    </row>
    <row r="130" spans="1:15" x14ac:dyDescent="0.2">
      <c r="A130" t="str">
        <f>IF('FORM E1'!B95="","",'FORM E1'!B95)</f>
        <v/>
      </c>
      <c r="B130" s="1136">
        <f>'FORM E1'!T95</f>
        <v>0</v>
      </c>
      <c r="C130" s="1139">
        <f>'FORM E1'!AB95</f>
        <v>0</v>
      </c>
      <c r="D130" s="1141" t="s">
        <v>3895</v>
      </c>
      <c r="E130" s="1142" t="s">
        <v>3896</v>
      </c>
      <c r="F130" s="1138" t="e">
        <f t="shared" si="4"/>
        <v>#VALUE!</v>
      </c>
      <c r="G130" s="1140" t="e">
        <f t="shared" si="5"/>
        <v>#VALUE!</v>
      </c>
      <c r="H130" s="1133"/>
      <c r="I130" t="str">
        <f>IF('FORM E2'!B95="","",'FORM E2'!B95)</f>
        <v/>
      </c>
      <c r="J130" s="1136">
        <f>'FORM E2'!X95</f>
        <v>0</v>
      </c>
      <c r="K130" s="1139">
        <f>'FORM E2'!AK95</f>
        <v>0</v>
      </c>
      <c r="L130" s="1141" t="s">
        <v>3897</v>
      </c>
      <c r="M130" s="1142" t="s">
        <v>3898</v>
      </c>
      <c r="N130" s="1138" t="e">
        <f t="shared" si="6"/>
        <v>#VALUE!</v>
      </c>
      <c r="O130" s="1140" t="e">
        <f t="shared" si="7"/>
        <v>#VALUE!</v>
      </c>
    </row>
    <row r="131" spans="1:15" x14ac:dyDescent="0.2">
      <c r="A131" t="str">
        <f>IF('FORM E1'!B96="","",'FORM E1'!B96)</f>
        <v/>
      </c>
      <c r="B131" s="1136">
        <f>'FORM E1'!T96</f>
        <v>0</v>
      </c>
      <c r="C131" s="1139">
        <f>'FORM E1'!AB96</f>
        <v>0</v>
      </c>
      <c r="D131" s="1141" t="s">
        <v>3895</v>
      </c>
      <c r="E131" s="1142" t="s">
        <v>3896</v>
      </c>
      <c r="F131" s="1138" t="e">
        <f t="shared" si="4"/>
        <v>#VALUE!</v>
      </c>
      <c r="G131" s="1140" t="e">
        <f t="shared" si="5"/>
        <v>#VALUE!</v>
      </c>
      <c r="H131" s="1133"/>
      <c r="I131" t="str">
        <f>IF('FORM E2'!B96="","",'FORM E2'!B96)</f>
        <v/>
      </c>
      <c r="J131" s="1136">
        <f>'FORM E2'!X96</f>
        <v>0</v>
      </c>
      <c r="K131" s="1139">
        <f>'FORM E2'!AK96</f>
        <v>0</v>
      </c>
      <c r="L131" s="1141" t="s">
        <v>3897</v>
      </c>
      <c r="M131" s="1142" t="s">
        <v>3898</v>
      </c>
      <c r="N131" s="1138" t="e">
        <f t="shared" si="6"/>
        <v>#VALUE!</v>
      </c>
      <c r="O131" s="1140" t="e">
        <f t="shared" si="7"/>
        <v>#VALUE!</v>
      </c>
    </row>
    <row r="132" spans="1:15" x14ac:dyDescent="0.2">
      <c r="A132" t="str">
        <f>IF('FORM E1'!B97="","",'FORM E1'!B97)</f>
        <v/>
      </c>
      <c r="B132" s="1136">
        <f>'FORM E1'!T97</f>
        <v>0</v>
      </c>
      <c r="C132" s="1139">
        <f>'FORM E1'!AB97</f>
        <v>0</v>
      </c>
      <c r="D132" s="1141" t="s">
        <v>3895</v>
      </c>
      <c r="E132" s="1142" t="s">
        <v>3896</v>
      </c>
      <c r="F132" s="1138" t="e">
        <f t="shared" si="4"/>
        <v>#VALUE!</v>
      </c>
      <c r="G132" s="1140" t="e">
        <f t="shared" si="5"/>
        <v>#VALUE!</v>
      </c>
      <c r="H132" s="1133"/>
      <c r="I132" t="str">
        <f>IF('FORM E2'!B97="","",'FORM E2'!B97)</f>
        <v/>
      </c>
      <c r="J132" s="1136">
        <f>'FORM E2'!X97</f>
        <v>0</v>
      </c>
      <c r="K132" s="1139">
        <f>'FORM E2'!AK97</f>
        <v>0</v>
      </c>
      <c r="L132" s="1141" t="s">
        <v>3897</v>
      </c>
      <c r="M132" s="1142" t="s">
        <v>3898</v>
      </c>
      <c r="N132" s="1138" t="e">
        <f t="shared" si="6"/>
        <v>#VALUE!</v>
      </c>
      <c r="O132" s="1140" t="e">
        <f t="shared" si="7"/>
        <v>#VALUE!</v>
      </c>
    </row>
    <row r="133" spans="1:15" x14ac:dyDescent="0.2">
      <c r="A133" t="str">
        <f>IF('FORM E1'!B98="","",'FORM E1'!B98)</f>
        <v/>
      </c>
      <c r="B133" s="1136">
        <f>'FORM E1'!T98</f>
        <v>0</v>
      </c>
      <c r="C133" s="1139">
        <f>'FORM E1'!AB98</f>
        <v>0</v>
      </c>
      <c r="D133" s="1141" t="s">
        <v>3895</v>
      </c>
      <c r="E133" s="1142" t="s">
        <v>3896</v>
      </c>
      <c r="F133" s="1138" t="e">
        <f t="shared" si="4"/>
        <v>#VALUE!</v>
      </c>
      <c r="G133" s="1140" t="e">
        <f t="shared" si="5"/>
        <v>#VALUE!</v>
      </c>
      <c r="H133" s="1133"/>
      <c r="I133" t="str">
        <f>IF('FORM E2'!B98="","",'FORM E2'!B98)</f>
        <v/>
      </c>
      <c r="J133" s="1136">
        <f>'FORM E2'!X98</f>
        <v>0</v>
      </c>
      <c r="K133" s="1139">
        <f>'FORM E2'!AK98</f>
        <v>0</v>
      </c>
      <c r="L133" s="1141" t="s">
        <v>3897</v>
      </c>
      <c r="M133" s="1142" t="s">
        <v>3898</v>
      </c>
      <c r="N133" s="1138" t="e">
        <f t="shared" si="6"/>
        <v>#VALUE!</v>
      </c>
      <c r="O133" s="1140" t="e">
        <f t="shared" si="7"/>
        <v>#VALUE!</v>
      </c>
    </row>
    <row r="134" spans="1:15" x14ac:dyDescent="0.2">
      <c r="A134" t="str">
        <f>IF('FORM E1'!B99="","",'FORM E1'!B99)</f>
        <v/>
      </c>
      <c r="B134" s="1136">
        <f>'FORM E1'!T99</f>
        <v>0</v>
      </c>
      <c r="C134" s="1139">
        <f>'FORM E1'!AB99</f>
        <v>0</v>
      </c>
      <c r="D134" s="1141" t="s">
        <v>3895</v>
      </c>
      <c r="E134" s="1142" t="s">
        <v>3896</v>
      </c>
      <c r="F134" s="1138" t="e">
        <f t="shared" si="4"/>
        <v>#VALUE!</v>
      </c>
      <c r="G134" s="1140" t="e">
        <f t="shared" si="5"/>
        <v>#VALUE!</v>
      </c>
      <c r="H134" s="1133"/>
      <c r="I134" t="str">
        <f>IF('FORM E2'!B99="","",'FORM E2'!B99)</f>
        <v/>
      </c>
      <c r="J134" s="1136">
        <f>'FORM E2'!X99</f>
        <v>0</v>
      </c>
      <c r="K134" s="1139">
        <f>'FORM E2'!AK99</f>
        <v>0</v>
      </c>
      <c r="L134" s="1141" t="s">
        <v>3897</v>
      </c>
      <c r="M134" s="1142" t="s">
        <v>3898</v>
      </c>
      <c r="N134" s="1138" t="e">
        <f t="shared" si="6"/>
        <v>#VALUE!</v>
      </c>
      <c r="O134" s="1140" t="e">
        <f t="shared" si="7"/>
        <v>#VALUE!</v>
      </c>
    </row>
    <row r="135" spans="1:15" x14ac:dyDescent="0.2">
      <c r="A135" t="str">
        <f>IF('FORM E1'!B100="","",'FORM E1'!B100)</f>
        <v/>
      </c>
      <c r="B135" s="1136">
        <f>'FORM E1'!T100</f>
        <v>0</v>
      </c>
      <c r="C135" s="1139">
        <f>'FORM E1'!AB100</f>
        <v>0</v>
      </c>
      <c r="D135" s="1141" t="s">
        <v>3895</v>
      </c>
      <c r="E135" s="1142" t="s">
        <v>3896</v>
      </c>
      <c r="F135" s="1138" t="e">
        <f t="shared" si="4"/>
        <v>#VALUE!</v>
      </c>
      <c r="G135" s="1140" t="e">
        <f t="shared" si="5"/>
        <v>#VALUE!</v>
      </c>
      <c r="H135" s="1133"/>
      <c r="I135" t="str">
        <f>IF('FORM E2'!B100="","",'FORM E2'!B100)</f>
        <v/>
      </c>
      <c r="J135" s="1136">
        <f>'FORM E2'!X100</f>
        <v>0</v>
      </c>
      <c r="K135" s="1139">
        <f>'FORM E2'!AK100</f>
        <v>0</v>
      </c>
      <c r="L135" s="1141" t="s">
        <v>3897</v>
      </c>
      <c r="M135" s="1142" t="s">
        <v>3898</v>
      </c>
      <c r="N135" s="1138" t="e">
        <f t="shared" si="6"/>
        <v>#VALUE!</v>
      </c>
      <c r="O135" s="1140" t="e">
        <f t="shared" si="7"/>
        <v>#VALUE!</v>
      </c>
    </row>
    <row r="136" spans="1:15" x14ac:dyDescent="0.2">
      <c r="A136" t="str">
        <f>IF('FORM E1'!B101="","",'FORM E1'!B101)</f>
        <v/>
      </c>
      <c r="B136" s="1136">
        <f>'FORM E1'!T101</f>
        <v>0</v>
      </c>
      <c r="C136" s="1139">
        <f>'FORM E1'!AB101</f>
        <v>0</v>
      </c>
      <c r="D136" s="1141" t="s">
        <v>3895</v>
      </c>
      <c r="E136" s="1142" t="s">
        <v>3896</v>
      </c>
      <c r="F136" s="1138" t="e">
        <f t="shared" si="4"/>
        <v>#VALUE!</v>
      </c>
      <c r="G136" s="1140" t="e">
        <f t="shared" si="5"/>
        <v>#VALUE!</v>
      </c>
      <c r="H136" s="1133"/>
      <c r="I136" t="str">
        <f>IF('FORM E2'!B101="","",'FORM E2'!B101)</f>
        <v/>
      </c>
      <c r="J136" s="1136">
        <f>'FORM E2'!X101</f>
        <v>0</v>
      </c>
      <c r="K136" s="1139">
        <f>'FORM E2'!AK101</f>
        <v>0</v>
      </c>
      <c r="L136" s="1141" t="s">
        <v>3897</v>
      </c>
      <c r="M136" s="1142" t="s">
        <v>3898</v>
      </c>
      <c r="N136" s="1138" t="e">
        <f t="shared" si="6"/>
        <v>#VALUE!</v>
      </c>
      <c r="O136" s="1140" t="e">
        <f t="shared" si="7"/>
        <v>#VALUE!</v>
      </c>
    </row>
    <row r="137" spans="1:15" x14ac:dyDescent="0.2">
      <c r="A137" t="str">
        <f>IF('FORM E1'!B102="","",'FORM E1'!B102)</f>
        <v/>
      </c>
      <c r="B137" s="1136">
        <f>'FORM E1'!T102</f>
        <v>0</v>
      </c>
      <c r="C137" s="1139">
        <f>'FORM E1'!AB102</f>
        <v>0</v>
      </c>
      <c r="D137" s="1141" t="s">
        <v>3895</v>
      </c>
      <c r="E137" s="1142" t="s">
        <v>3896</v>
      </c>
      <c r="F137" s="1138" t="e">
        <f t="shared" si="4"/>
        <v>#VALUE!</v>
      </c>
      <c r="G137" s="1140" t="e">
        <f t="shared" si="5"/>
        <v>#VALUE!</v>
      </c>
      <c r="H137" s="1133"/>
      <c r="I137" t="str">
        <f>IF('FORM E2'!B102="","",'FORM E2'!B102)</f>
        <v/>
      </c>
      <c r="J137" s="1136">
        <f>'FORM E2'!X102</f>
        <v>0</v>
      </c>
      <c r="K137" s="1139">
        <f>'FORM E2'!AK102</f>
        <v>0</v>
      </c>
      <c r="L137" s="1141" t="s">
        <v>3897</v>
      </c>
      <c r="M137" s="1142" t="s">
        <v>3898</v>
      </c>
      <c r="N137" s="1138" t="e">
        <f t="shared" si="6"/>
        <v>#VALUE!</v>
      </c>
      <c r="O137" s="1140" t="e">
        <f t="shared" si="7"/>
        <v>#VALUE!</v>
      </c>
    </row>
    <row r="138" spans="1:15" x14ac:dyDescent="0.2">
      <c r="A138" t="str">
        <f>IF('FORM E1'!B103="","",'FORM E1'!B103)</f>
        <v/>
      </c>
      <c r="B138" s="1136">
        <f>'FORM E1'!T103</f>
        <v>0</v>
      </c>
      <c r="C138" s="1139">
        <f>'FORM E1'!AB103</f>
        <v>0</v>
      </c>
      <c r="D138" s="1141" t="s">
        <v>3895</v>
      </c>
      <c r="E138" s="1142" t="s">
        <v>3896</v>
      </c>
      <c r="F138" s="1138" t="e">
        <f t="shared" si="4"/>
        <v>#VALUE!</v>
      </c>
      <c r="G138" s="1140" t="e">
        <f t="shared" si="5"/>
        <v>#VALUE!</v>
      </c>
      <c r="H138" s="1133"/>
      <c r="I138" t="str">
        <f>IF('FORM E2'!B103="","",'FORM E2'!B103)</f>
        <v/>
      </c>
      <c r="J138" s="1136">
        <f>'FORM E2'!X103</f>
        <v>0</v>
      </c>
      <c r="K138" s="1139">
        <f>'FORM E2'!AK103</f>
        <v>0</v>
      </c>
      <c r="L138" s="1141" t="s">
        <v>3897</v>
      </c>
      <c r="M138" s="1142" t="s">
        <v>3898</v>
      </c>
      <c r="N138" s="1138" t="e">
        <f t="shared" si="6"/>
        <v>#VALUE!</v>
      </c>
      <c r="O138" s="1140" t="e">
        <f t="shared" si="7"/>
        <v>#VALUE!</v>
      </c>
    </row>
    <row r="139" spans="1:15" x14ac:dyDescent="0.2">
      <c r="A139" t="str">
        <f>IF('FORM E1'!B104="","",'FORM E1'!B104)</f>
        <v/>
      </c>
      <c r="B139" s="1136">
        <f>'FORM E1'!T104</f>
        <v>0</v>
      </c>
      <c r="C139" s="1139">
        <f>'FORM E1'!AB104</f>
        <v>0</v>
      </c>
      <c r="D139" s="1141" t="s">
        <v>3895</v>
      </c>
      <c r="E139" s="1142" t="s">
        <v>3896</v>
      </c>
      <c r="F139" s="1138" t="e">
        <f t="shared" si="4"/>
        <v>#VALUE!</v>
      </c>
      <c r="G139" s="1140" t="e">
        <f t="shared" si="5"/>
        <v>#VALUE!</v>
      </c>
      <c r="H139" s="1133"/>
      <c r="I139" t="str">
        <f>IF('FORM E2'!B104="","",'FORM E2'!B104)</f>
        <v/>
      </c>
      <c r="J139" s="1136">
        <f>'FORM E2'!X104</f>
        <v>0</v>
      </c>
      <c r="K139" s="1139">
        <f>'FORM E2'!AK104</f>
        <v>0</v>
      </c>
      <c r="L139" s="1141" t="s">
        <v>3897</v>
      </c>
      <c r="M139" s="1142" t="s">
        <v>3898</v>
      </c>
      <c r="N139" s="1138" t="e">
        <f t="shared" si="6"/>
        <v>#VALUE!</v>
      </c>
      <c r="O139" s="1140" t="e">
        <f t="shared" si="7"/>
        <v>#VALUE!</v>
      </c>
    </row>
    <row r="140" spans="1:15" x14ac:dyDescent="0.2">
      <c r="A140" t="str">
        <f>IF('FORM E1'!B105="","",'FORM E1'!B105)</f>
        <v/>
      </c>
      <c r="B140" s="1136">
        <f>'FORM E1'!T105</f>
        <v>0</v>
      </c>
      <c r="C140" s="1139">
        <f>'FORM E1'!AB105</f>
        <v>0</v>
      </c>
      <c r="D140" s="1141" t="s">
        <v>3895</v>
      </c>
      <c r="E140" s="1142" t="s">
        <v>3896</v>
      </c>
      <c r="F140" s="1138" t="e">
        <f t="shared" si="4"/>
        <v>#VALUE!</v>
      </c>
      <c r="G140" s="1140" t="e">
        <f t="shared" si="5"/>
        <v>#VALUE!</v>
      </c>
      <c r="H140" s="1133"/>
      <c r="I140" t="str">
        <f>IF('FORM E2'!B105="","",'FORM E2'!B105)</f>
        <v/>
      </c>
      <c r="J140" s="1136">
        <f>'FORM E2'!X105</f>
        <v>0</v>
      </c>
      <c r="K140" s="1139">
        <f>'FORM E2'!AK105</f>
        <v>0</v>
      </c>
      <c r="L140" s="1141" t="s">
        <v>3897</v>
      </c>
      <c r="M140" s="1142" t="s">
        <v>3898</v>
      </c>
      <c r="N140" s="1138" t="e">
        <f t="shared" si="6"/>
        <v>#VALUE!</v>
      </c>
      <c r="O140" s="1140" t="e">
        <f t="shared" si="7"/>
        <v>#VALUE!</v>
      </c>
    </row>
    <row r="141" spans="1:15" x14ac:dyDescent="0.2">
      <c r="A141" t="str">
        <f>IF('FORM E1'!B106="","",'FORM E1'!B106)</f>
        <v/>
      </c>
      <c r="B141" s="1136">
        <f>'FORM E1'!T106</f>
        <v>0</v>
      </c>
      <c r="C141" s="1139">
        <f>'FORM E1'!AB106</f>
        <v>0</v>
      </c>
      <c r="D141" s="1141" t="s">
        <v>3895</v>
      </c>
      <c r="E141" s="1142" t="s">
        <v>3896</v>
      </c>
      <c r="F141" s="1138" t="e">
        <f t="shared" si="4"/>
        <v>#VALUE!</v>
      </c>
      <c r="G141" s="1140" t="e">
        <f t="shared" si="5"/>
        <v>#VALUE!</v>
      </c>
      <c r="H141" s="1133"/>
      <c r="I141" t="str">
        <f>IF('FORM E2'!B106="","",'FORM E2'!B106)</f>
        <v/>
      </c>
      <c r="J141" s="1136">
        <f>'FORM E2'!X106</f>
        <v>0</v>
      </c>
      <c r="K141" s="1139">
        <f>'FORM E2'!AK106</f>
        <v>0</v>
      </c>
      <c r="L141" s="1141" t="s">
        <v>3897</v>
      </c>
      <c r="M141" s="1142" t="s">
        <v>3898</v>
      </c>
      <c r="N141" s="1138" t="e">
        <f t="shared" si="6"/>
        <v>#VALUE!</v>
      </c>
      <c r="O141" s="1140" t="e">
        <f t="shared" si="7"/>
        <v>#VALUE!</v>
      </c>
    </row>
    <row r="142" spans="1:15" x14ac:dyDescent="0.2">
      <c r="A142" t="str">
        <f>IF('FORM E1'!B107="","",'FORM E1'!B107)</f>
        <v/>
      </c>
      <c r="B142" s="1136">
        <f>'FORM E1'!T107</f>
        <v>0</v>
      </c>
      <c r="C142" s="1139">
        <f>'FORM E1'!AB107</f>
        <v>0</v>
      </c>
      <c r="D142" s="1141" t="s">
        <v>3895</v>
      </c>
      <c r="E142" s="1142" t="s">
        <v>3896</v>
      </c>
      <c r="F142" s="1138" t="e">
        <f t="shared" si="4"/>
        <v>#VALUE!</v>
      </c>
      <c r="G142" s="1140" t="e">
        <f t="shared" si="5"/>
        <v>#VALUE!</v>
      </c>
      <c r="H142" s="1133"/>
      <c r="I142" t="str">
        <f>IF('FORM E2'!B107="","",'FORM E2'!B107)</f>
        <v/>
      </c>
      <c r="J142" s="1136">
        <f>'FORM E2'!X107</f>
        <v>0</v>
      </c>
      <c r="K142" s="1139">
        <f>'FORM E2'!AK107</f>
        <v>0</v>
      </c>
      <c r="L142" s="1141" t="s">
        <v>3897</v>
      </c>
      <c r="M142" s="1142" t="s">
        <v>3898</v>
      </c>
      <c r="N142" s="1138" t="e">
        <f t="shared" si="6"/>
        <v>#VALUE!</v>
      </c>
      <c r="O142" s="1140" t="e">
        <f t="shared" si="7"/>
        <v>#VALUE!</v>
      </c>
    </row>
    <row r="143" spans="1:15" x14ac:dyDescent="0.2">
      <c r="A143" t="str">
        <f>IF('FORM E1'!B108="","",'FORM E1'!B108)</f>
        <v/>
      </c>
      <c r="B143" s="1136">
        <f>'FORM E1'!T108</f>
        <v>0</v>
      </c>
      <c r="C143" s="1139">
        <f>'FORM E1'!AB108</f>
        <v>0</v>
      </c>
      <c r="D143" s="1141" t="s">
        <v>3895</v>
      </c>
      <c r="E143" s="1142" t="s">
        <v>3896</v>
      </c>
      <c r="F143" s="1138" t="e">
        <f t="shared" si="4"/>
        <v>#VALUE!</v>
      </c>
      <c r="G143" s="1140" t="e">
        <f t="shared" si="5"/>
        <v>#VALUE!</v>
      </c>
      <c r="H143" s="1133"/>
      <c r="I143" t="str">
        <f>IF('FORM E2'!B108="","",'FORM E2'!B108)</f>
        <v/>
      </c>
      <c r="J143" s="1136">
        <f>'FORM E2'!X108</f>
        <v>0</v>
      </c>
      <c r="K143" s="1139">
        <f>'FORM E2'!AK108</f>
        <v>0</v>
      </c>
      <c r="L143" s="1141" t="s">
        <v>3897</v>
      </c>
      <c r="M143" s="1142" t="s">
        <v>3898</v>
      </c>
      <c r="N143" s="1138" t="e">
        <f t="shared" si="6"/>
        <v>#VALUE!</v>
      </c>
      <c r="O143" s="1140" t="e">
        <f t="shared" si="7"/>
        <v>#VALUE!</v>
      </c>
    </row>
    <row r="144" spans="1:15" x14ac:dyDescent="0.2">
      <c r="A144" t="str">
        <f>IF('FORM E1'!B109="","",'FORM E1'!B109)</f>
        <v/>
      </c>
      <c r="B144" s="1136">
        <f>'FORM E1'!T109</f>
        <v>0</v>
      </c>
      <c r="C144" s="1139">
        <f>'FORM E1'!AB109</f>
        <v>0</v>
      </c>
      <c r="D144" s="1141" t="s">
        <v>3895</v>
      </c>
      <c r="E144" s="1142" t="s">
        <v>3896</v>
      </c>
      <c r="F144" s="1138" t="e">
        <f t="shared" si="4"/>
        <v>#VALUE!</v>
      </c>
      <c r="G144" s="1140" t="e">
        <f t="shared" si="5"/>
        <v>#VALUE!</v>
      </c>
      <c r="H144" s="1133"/>
      <c r="I144" t="str">
        <f>IF('FORM E2'!B109="","",'FORM E2'!B109)</f>
        <v/>
      </c>
      <c r="J144" s="1136">
        <f>'FORM E2'!X109</f>
        <v>0</v>
      </c>
      <c r="K144" s="1139">
        <f>'FORM E2'!AK109</f>
        <v>0</v>
      </c>
      <c r="L144" s="1141" t="s">
        <v>3897</v>
      </c>
      <c r="M144" s="1142" t="s">
        <v>3898</v>
      </c>
      <c r="N144" s="1138" t="e">
        <f t="shared" si="6"/>
        <v>#VALUE!</v>
      </c>
      <c r="O144" s="1140" t="e">
        <f t="shared" si="7"/>
        <v>#VALUE!</v>
      </c>
    </row>
    <row r="145" spans="1:20" x14ac:dyDescent="0.2">
      <c r="A145" s="1133"/>
      <c r="B145" s="1133"/>
      <c r="C145" s="1133"/>
      <c r="D145" s="1133"/>
      <c r="E145" s="1133"/>
      <c r="F145" s="1134"/>
      <c r="G145" s="1133"/>
      <c r="H145" s="1133"/>
      <c r="I145" s="1135"/>
      <c r="J145" s="1133"/>
      <c r="K145" s="1133"/>
      <c r="L145" s="1133"/>
      <c r="M145" s="1133"/>
      <c r="N145" s="1133"/>
      <c r="O145" s="1133"/>
      <c r="P145" s="1133"/>
      <c r="Q145" s="1133"/>
      <c r="R145" s="1133"/>
      <c r="S145" s="1133"/>
      <c r="T145" s="1133"/>
    </row>
  </sheetData>
  <sheetProtection algorithmName="SHA-512" hashValue="mdy7DSzSwjggU4sXBq1BpuUlNQNXmodzPMDQAQDvwPZTYnYVjI8EJnCKtKbtGvf/NdROJ3M8wDdczvA0nI32Vg==" saltValue="F64+hUKx5JEpQlWlooQ25Q==" spinCount="100000" sheet="1" objects="1" scenarios="1"/>
  <autoFilter ref="A5:S27"/>
  <conditionalFormatting sqref="J29">
    <cfRule type="cellIs" dxfId="22" priority="25" operator="notEqual">
      <formula>0</formula>
    </cfRule>
  </conditionalFormatting>
  <conditionalFormatting sqref="W2:W6 C44:C144">
    <cfRule type="containsText" dxfId="21" priority="22" operator="containsText" text="NO">
      <formula>NOT(ISERROR(SEARCH("NO",C2)))</formula>
    </cfRule>
  </conditionalFormatting>
  <conditionalFormatting sqref="A32:A34">
    <cfRule type="duplicateValues" dxfId="20" priority="20"/>
  </conditionalFormatting>
  <conditionalFormatting sqref="AD32:AD34">
    <cfRule type="containsText" dxfId="19" priority="21" operator="containsText" text="FALSE">
      <formula>NOT(ISERROR(SEARCH("FALSE",#REF!)))</formula>
    </cfRule>
  </conditionalFormatting>
  <conditionalFormatting sqref="K2:L2">
    <cfRule type="cellIs" dxfId="18" priority="18" operator="equal">
      <formula>"Y"</formula>
    </cfRule>
  </conditionalFormatting>
  <conditionalFormatting sqref="E44 G44">
    <cfRule type="containsText" dxfId="17" priority="17" operator="containsText" text="NO">
      <formula>NOT(ISERROR(SEARCH("NO",E44)))</formula>
    </cfRule>
  </conditionalFormatting>
  <conditionalFormatting sqref="F45:G144">
    <cfRule type="cellIs" dxfId="16" priority="16" operator="notEqual">
      <formula>0</formula>
    </cfRule>
  </conditionalFormatting>
  <conditionalFormatting sqref="E45:E144">
    <cfRule type="containsText" dxfId="15" priority="15" operator="containsText" text="NO">
      <formula>NOT(ISERROR(SEARCH("NO",E45)))</formula>
    </cfRule>
  </conditionalFormatting>
  <conditionalFormatting sqref="K44:K144">
    <cfRule type="containsText" dxfId="14" priority="14" operator="containsText" text="NO">
      <formula>NOT(ISERROR(SEARCH("NO",K44)))</formula>
    </cfRule>
  </conditionalFormatting>
  <conditionalFormatting sqref="M44 O44">
    <cfRule type="containsText" dxfId="13" priority="13" operator="containsText" text="NO">
      <formula>NOT(ISERROR(SEARCH("NO",M44)))</formula>
    </cfRule>
  </conditionalFormatting>
  <conditionalFormatting sqref="N45:O144">
    <cfRule type="cellIs" dxfId="12" priority="12" operator="notEqual">
      <formula>0</formula>
    </cfRule>
  </conditionalFormatting>
  <conditionalFormatting sqref="M45:M144">
    <cfRule type="containsText" dxfId="11" priority="11" operator="containsText" text="NO">
      <formula>NOT(ISERROR(SEARCH("NO",M45)))</formula>
    </cfRule>
  </conditionalFormatting>
  <conditionalFormatting sqref="F39:G39">
    <cfRule type="cellIs" dxfId="10" priority="9" operator="notEqual">
      <formula>0</formula>
    </cfRule>
    <cfRule type="cellIs" dxfId="9" priority="10" operator="notEqual">
      <formula>0</formula>
    </cfRule>
  </conditionalFormatting>
  <conditionalFormatting sqref="N39:O39">
    <cfRule type="cellIs" dxfId="8" priority="7" operator="notEqual">
      <formula>0</formula>
    </cfRule>
    <cfRule type="cellIs" dxfId="7" priority="8" operator="notEqual">
      <formula>0</formula>
    </cfRule>
  </conditionalFormatting>
  <conditionalFormatting sqref="M2">
    <cfRule type="cellIs" dxfId="6" priority="6" operator="equal">
      <formula>"Y"</formula>
    </cfRule>
  </conditionalFormatting>
  <conditionalFormatting sqref="N2">
    <cfRule type="cellIs" dxfId="5" priority="5" operator="equal">
      <formula>"Y"</formula>
    </cfRule>
  </conditionalFormatting>
  <conditionalFormatting sqref="O2">
    <cfRule type="cellIs" dxfId="4" priority="4" operator="equal">
      <formula>"Y"</formula>
    </cfRule>
  </conditionalFormatting>
  <conditionalFormatting sqref="P2">
    <cfRule type="cellIs" dxfId="3" priority="3" operator="equal">
      <formula>"Y"</formula>
    </cfRule>
  </conditionalFormatting>
  <conditionalFormatting sqref="Q2">
    <cfRule type="cellIs" dxfId="2" priority="2" operator="equal">
      <formula>"Y"</formula>
    </cfRule>
  </conditionalFormatting>
  <conditionalFormatting sqref="R2">
    <cfRule type="cellIs" dxfId="1" priority="1" operator="equal">
      <formula>"Y"</formula>
    </cfRule>
  </conditionalFormatting>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3"/>
    <pageSetUpPr fitToPage="1"/>
  </sheetPr>
  <dimension ref="A1:V385"/>
  <sheetViews>
    <sheetView zoomScaleNormal="100" workbookViewId="0">
      <pane ySplit="2" topLeftCell="A327" activePane="bottomLeft" state="frozen"/>
      <selection activeCell="A8" sqref="A8"/>
      <selection pane="bottomLeft" activeCell="K391" sqref="K391"/>
    </sheetView>
  </sheetViews>
  <sheetFormatPr defaultRowHeight="12.75" outlineLevelRow="1" x14ac:dyDescent="0.2"/>
  <cols>
    <col min="1" max="1" width="34.28515625" customWidth="1"/>
    <col min="2" max="2" width="8.42578125" style="19" customWidth="1"/>
    <col min="3" max="3" width="14.28515625" customWidth="1"/>
    <col min="4" max="4" width="14.5703125" customWidth="1"/>
    <col min="5" max="5" width="12.7109375" customWidth="1"/>
    <col min="6" max="6" width="7.7109375" hidden="1" customWidth="1"/>
    <col min="7" max="7" width="12.7109375" customWidth="1"/>
    <col min="8" max="8" width="4.140625" customWidth="1"/>
    <col min="9" max="9" width="14.140625" customWidth="1"/>
    <col min="10" max="10" width="15" customWidth="1"/>
    <col min="11" max="11" width="12.7109375" customWidth="1"/>
    <col min="12" max="12" width="3.42578125" customWidth="1"/>
    <col min="13" max="13" width="16" customWidth="1"/>
    <col min="14" max="14" width="11.7109375" hidden="1" customWidth="1"/>
    <col min="15" max="15" width="14.28515625" customWidth="1"/>
    <col min="16" max="16" width="2.140625" customWidth="1"/>
    <col min="20" max="20" width="9.28515625" bestFit="1" customWidth="1"/>
    <col min="21" max="22" width="10.28515625" bestFit="1" customWidth="1"/>
  </cols>
  <sheetData>
    <row r="1" spans="1:15" x14ac:dyDescent="0.2">
      <c r="A1" s="167" t="s">
        <v>735</v>
      </c>
      <c r="O1" s="319" t="s">
        <v>623</v>
      </c>
    </row>
    <row r="2" spans="1:15" x14ac:dyDescent="0.2">
      <c r="A2" s="167" t="s">
        <v>622</v>
      </c>
      <c r="B2"/>
      <c r="O2" s="320">
        <v>43837</v>
      </c>
    </row>
    <row r="3" spans="1:15" hidden="1" outlineLevel="1" x14ac:dyDescent="0.2"/>
    <row r="4" spans="1:15" hidden="1" outlineLevel="1" x14ac:dyDescent="0.2">
      <c r="A4" t="s">
        <v>561</v>
      </c>
      <c r="C4" t="s">
        <v>365</v>
      </c>
    </row>
    <row r="5" spans="1:15" hidden="1" outlineLevel="1" x14ac:dyDescent="0.2">
      <c r="C5" t="s">
        <v>556</v>
      </c>
      <c r="I5" t="s">
        <v>557</v>
      </c>
      <c r="M5" t="s">
        <v>558</v>
      </c>
      <c r="O5" t="s">
        <v>559</v>
      </c>
    </row>
    <row r="6" spans="1:15" ht="33.75" hidden="1" outlineLevel="1" x14ac:dyDescent="0.2">
      <c r="A6" s="31" t="s">
        <v>344</v>
      </c>
      <c r="B6" s="18" t="s">
        <v>353</v>
      </c>
      <c r="C6" s="310" t="s">
        <v>347</v>
      </c>
      <c r="D6" s="310"/>
      <c r="E6" s="311" t="s">
        <v>331</v>
      </c>
      <c r="F6" s="311" t="s">
        <v>334</v>
      </c>
      <c r="G6" s="311" t="s">
        <v>249</v>
      </c>
      <c r="H6" s="309"/>
      <c r="I6" s="312" t="s">
        <v>348</v>
      </c>
      <c r="J6" s="312"/>
      <c r="K6" s="310" t="s">
        <v>346</v>
      </c>
      <c r="L6" s="309"/>
      <c r="M6" s="304" t="s">
        <v>730</v>
      </c>
      <c r="N6" s="304" t="s">
        <v>612</v>
      </c>
      <c r="O6" s="304" t="s">
        <v>729</v>
      </c>
    </row>
    <row r="7" spans="1:15" hidden="1" outlineLevel="1" x14ac:dyDescent="0.2">
      <c r="A7" s="17" t="s">
        <v>335</v>
      </c>
      <c r="C7" s="23">
        <v>0.105</v>
      </c>
      <c r="D7" s="23"/>
      <c r="E7" s="24" t="s">
        <v>336</v>
      </c>
      <c r="F7" s="24" t="s">
        <v>336</v>
      </c>
      <c r="G7" s="24" t="s">
        <v>336</v>
      </c>
      <c r="I7" s="23">
        <v>0.19750000000000001</v>
      </c>
      <c r="J7" s="27"/>
      <c r="K7" s="25" t="s">
        <v>336</v>
      </c>
      <c r="M7" s="24" t="s">
        <v>336</v>
      </c>
      <c r="N7" s="24" t="s">
        <v>336</v>
      </c>
      <c r="O7" s="24" t="s">
        <v>336</v>
      </c>
    </row>
    <row r="8" spans="1:15" hidden="1" outlineLevel="1" x14ac:dyDescent="0.2">
      <c r="A8" s="17" t="s">
        <v>338</v>
      </c>
      <c r="C8" s="26">
        <v>1.4500000000000001E-2</v>
      </c>
      <c r="D8" s="26"/>
      <c r="E8" s="26">
        <v>1.4500000000000001E-2</v>
      </c>
      <c r="F8" s="26">
        <v>1.4500000000000001E-2</v>
      </c>
      <c r="G8" s="26">
        <v>1.4500000000000001E-2</v>
      </c>
      <c r="I8" s="26">
        <v>1.4500000000000001E-2</v>
      </c>
      <c r="J8" s="27"/>
      <c r="K8" s="27">
        <v>1.4500000000000001E-2</v>
      </c>
      <c r="M8" s="28" t="s">
        <v>336</v>
      </c>
      <c r="N8" s="28">
        <v>1.4500000000000001E-2</v>
      </c>
      <c r="O8" s="28" t="s">
        <v>336</v>
      </c>
    </row>
    <row r="9" spans="1:15" hidden="1" outlineLevel="1" x14ac:dyDescent="0.2">
      <c r="A9" s="17" t="s">
        <v>339</v>
      </c>
      <c r="C9" s="26">
        <v>2E-3</v>
      </c>
      <c r="D9" s="26"/>
      <c r="E9" s="26">
        <v>2E-3</v>
      </c>
      <c r="F9" s="26">
        <v>2E-3</v>
      </c>
      <c r="G9" s="26">
        <v>2E-3</v>
      </c>
      <c r="I9" s="26">
        <v>2E-3</v>
      </c>
      <c r="J9" s="27"/>
      <c r="K9" s="27">
        <v>2E-3</v>
      </c>
      <c r="M9" s="28" t="s">
        <v>336</v>
      </c>
      <c r="N9" s="28">
        <v>2E-3</v>
      </c>
      <c r="O9" s="28" t="s">
        <v>336</v>
      </c>
    </row>
    <row r="10" spans="1:15" hidden="1" outlineLevel="1" x14ac:dyDescent="0.2">
      <c r="A10" s="17" t="s">
        <v>340</v>
      </c>
      <c r="C10" s="26">
        <v>2.8000000000000001E-2</v>
      </c>
      <c r="D10" s="26"/>
      <c r="E10" s="28" t="s">
        <v>336</v>
      </c>
      <c r="F10" s="26">
        <v>2.8000000000000001E-2</v>
      </c>
      <c r="G10" s="28" t="s">
        <v>336</v>
      </c>
      <c r="I10" s="26">
        <v>2.8000000000000001E-2</v>
      </c>
      <c r="J10" s="27"/>
      <c r="K10" s="25" t="s">
        <v>336</v>
      </c>
      <c r="M10" s="28" t="s">
        <v>336</v>
      </c>
      <c r="N10" s="28" t="s">
        <v>336</v>
      </c>
      <c r="O10" s="28" t="s">
        <v>336</v>
      </c>
    </row>
    <row r="11" spans="1:15" hidden="1" outlineLevel="1" x14ac:dyDescent="0.2">
      <c r="A11" s="17" t="s">
        <v>341</v>
      </c>
      <c r="C11" s="87" t="s">
        <v>336</v>
      </c>
      <c r="D11" s="87"/>
      <c r="E11" s="88">
        <v>6.2E-2</v>
      </c>
      <c r="F11" s="88">
        <v>6.2E-2</v>
      </c>
      <c r="G11" s="82">
        <v>6.2E-2</v>
      </c>
      <c r="I11" s="87" t="s">
        <v>336</v>
      </c>
      <c r="J11" s="83"/>
      <c r="K11" s="83" t="s">
        <v>336</v>
      </c>
      <c r="M11" s="87" t="s">
        <v>336</v>
      </c>
      <c r="N11" s="87">
        <v>6.2E-2</v>
      </c>
      <c r="O11" s="87" t="s">
        <v>336</v>
      </c>
    </row>
    <row r="12" spans="1:15" hidden="1" outlineLevel="1" x14ac:dyDescent="0.2">
      <c r="A12" s="17" t="s">
        <v>363</v>
      </c>
      <c r="C12" s="29">
        <f>SUM(C7:C11)</f>
        <v>0.14949999999999999</v>
      </c>
      <c r="D12" s="29"/>
      <c r="E12" s="29">
        <f>SUM(E7:E11)</f>
        <v>7.85E-2</v>
      </c>
      <c r="F12" s="29">
        <f>SUM(F7:F11)</f>
        <v>0.1065</v>
      </c>
      <c r="G12" s="29">
        <f>SUM(G7:G11)</f>
        <v>7.85E-2</v>
      </c>
      <c r="I12" s="29">
        <f>SUM(I7:I11)</f>
        <v>0.24200000000000002</v>
      </c>
      <c r="J12" s="29"/>
      <c r="K12" s="29">
        <f>SUM(K7:K11)</f>
        <v>1.6500000000000001E-2</v>
      </c>
      <c r="M12" s="29">
        <f>SUM(M7:M11)</f>
        <v>0</v>
      </c>
      <c r="N12" s="29">
        <f>SUM(N7:N11)</f>
        <v>7.85E-2</v>
      </c>
      <c r="O12" s="29">
        <f>SUM(O7:O11)</f>
        <v>0</v>
      </c>
    </row>
    <row r="13" spans="1:15" hidden="1" outlineLevel="1" x14ac:dyDescent="0.2">
      <c r="A13" s="17" t="s">
        <v>337</v>
      </c>
      <c r="C13" s="26">
        <v>1.4999999999999999E-2</v>
      </c>
      <c r="D13" s="26"/>
      <c r="E13" s="26">
        <v>1.4999999999999999E-2</v>
      </c>
      <c r="F13" s="26">
        <v>1.4999999999999999E-2</v>
      </c>
      <c r="G13" s="26">
        <v>1.4999999999999999E-2</v>
      </c>
      <c r="I13" s="26">
        <v>1.4999999999999999E-2</v>
      </c>
      <c r="J13" s="27"/>
      <c r="K13" s="27">
        <v>1.4999999999999999E-2</v>
      </c>
      <c r="M13" s="26">
        <v>1.4999999999999999E-2</v>
      </c>
      <c r="N13" s="26">
        <v>1.4999999999999999E-2</v>
      </c>
      <c r="O13" s="26">
        <v>1.4999999999999999E-2</v>
      </c>
    </row>
    <row r="14" spans="1:15" hidden="1" outlineLevel="1" x14ac:dyDescent="0.2">
      <c r="A14" s="17" t="s">
        <v>364</v>
      </c>
      <c r="C14" s="232">
        <f>SUM(C12:C13)</f>
        <v>0.16449999999999998</v>
      </c>
      <c r="D14" s="232"/>
      <c r="E14" s="232">
        <f>SUM(E12:E13)</f>
        <v>9.35E-2</v>
      </c>
      <c r="F14" s="232">
        <f>SUM(F12:F13)</f>
        <v>0.1215</v>
      </c>
      <c r="G14" s="232">
        <f>SUM(G12:G13)</f>
        <v>9.35E-2</v>
      </c>
      <c r="I14" s="232">
        <f>SUM(I12:I13)</f>
        <v>0.25700000000000001</v>
      </c>
      <c r="J14" s="232"/>
      <c r="K14" s="232">
        <f>SUM(K12:K13)</f>
        <v>3.15E-2</v>
      </c>
      <c r="M14" s="232">
        <f>SUM(M12:M13)</f>
        <v>1.4999999999999999E-2</v>
      </c>
      <c r="N14" s="232">
        <f>SUM(N12:N13)</f>
        <v>9.35E-2</v>
      </c>
      <c r="O14" s="232">
        <f>SUM(O12:O13)</f>
        <v>1.4999999999999999E-2</v>
      </c>
    </row>
    <row r="15" spans="1:15" ht="13.5" hidden="1" outlineLevel="1" thickBot="1" x14ac:dyDescent="0.25">
      <c r="C15" s="22"/>
      <c r="D15" s="22"/>
      <c r="E15" s="22"/>
      <c r="F15" s="22"/>
      <c r="G15" s="22"/>
      <c r="I15" s="22"/>
      <c r="J15" s="22"/>
      <c r="K15" s="22"/>
      <c r="M15" s="22"/>
      <c r="N15" s="22"/>
      <c r="O15" s="22"/>
    </row>
    <row r="16" spans="1:15" ht="13.5" hidden="1" outlineLevel="1" thickBot="1" x14ac:dyDescent="0.25">
      <c r="A16" s="30" t="s">
        <v>560</v>
      </c>
      <c r="B16" s="147"/>
      <c r="C16" s="86">
        <v>6002.4</v>
      </c>
      <c r="D16" s="86"/>
      <c r="E16" s="86">
        <v>6002.4</v>
      </c>
      <c r="F16" s="86">
        <v>6002.4</v>
      </c>
      <c r="I16" s="86">
        <v>6002.4</v>
      </c>
      <c r="J16" s="234"/>
    </row>
    <row r="17" spans="1:15" hidden="1" outlineLevel="1" x14ac:dyDescent="0.2"/>
    <row r="18" spans="1:15" hidden="1" outlineLevel="1" x14ac:dyDescent="0.2">
      <c r="C18" t="s">
        <v>342</v>
      </c>
    </row>
    <row r="19" spans="1:15" hidden="1" outlineLevel="1" x14ac:dyDescent="0.2">
      <c r="C19" t="s">
        <v>343</v>
      </c>
    </row>
    <row r="20" spans="1:15" hidden="1" outlineLevel="1" x14ac:dyDescent="0.2"/>
    <row r="21" spans="1:15" hidden="1" outlineLevel="1" x14ac:dyDescent="0.2">
      <c r="A21" t="s">
        <v>332</v>
      </c>
      <c r="C21" t="s">
        <v>537</v>
      </c>
    </row>
    <row r="22" spans="1:15" hidden="1" outlineLevel="1" x14ac:dyDescent="0.2">
      <c r="C22" t="s">
        <v>556</v>
      </c>
      <c r="I22" t="s">
        <v>557</v>
      </c>
      <c r="M22" t="s">
        <v>558</v>
      </c>
      <c r="O22" t="s">
        <v>559</v>
      </c>
    </row>
    <row r="23" spans="1:15" ht="33.75" hidden="1" outlineLevel="1" x14ac:dyDescent="0.2">
      <c r="A23" s="31" t="s">
        <v>344</v>
      </c>
      <c r="B23" s="18"/>
      <c r="C23" s="310" t="s">
        <v>347</v>
      </c>
      <c r="D23" s="310"/>
      <c r="E23" s="311" t="s">
        <v>331</v>
      </c>
      <c r="F23" s="311" t="s">
        <v>334</v>
      </c>
      <c r="G23" s="311" t="s">
        <v>249</v>
      </c>
      <c r="H23" s="309"/>
      <c r="I23" s="312" t="s">
        <v>348</v>
      </c>
      <c r="J23" s="312"/>
      <c r="K23" s="310" t="s">
        <v>346</v>
      </c>
      <c r="L23" s="309"/>
      <c r="M23" s="304" t="s">
        <v>730</v>
      </c>
      <c r="N23" s="304" t="s">
        <v>612</v>
      </c>
      <c r="O23" s="304" t="s">
        <v>729</v>
      </c>
    </row>
    <row r="24" spans="1:15" hidden="1" outlineLevel="1" x14ac:dyDescent="0.2">
      <c r="A24" s="17" t="s">
        <v>335</v>
      </c>
      <c r="B24" s="19" t="s">
        <v>510</v>
      </c>
      <c r="C24" s="154">
        <v>0.105</v>
      </c>
      <c r="D24" s="154"/>
      <c r="E24" s="148" t="s">
        <v>531</v>
      </c>
      <c r="F24" s="155" t="s">
        <v>531</v>
      </c>
      <c r="G24" s="155" t="s">
        <v>531</v>
      </c>
      <c r="I24" s="148">
        <v>0.20499999999999999</v>
      </c>
      <c r="J24" s="156"/>
      <c r="K24" s="156" t="s">
        <v>336</v>
      </c>
      <c r="M24" s="155" t="s">
        <v>531</v>
      </c>
      <c r="N24" s="148" t="s">
        <v>531</v>
      </c>
      <c r="O24" s="148" t="s">
        <v>531</v>
      </c>
    </row>
    <row r="25" spans="1:15" hidden="1" outlineLevel="1" x14ac:dyDescent="0.2">
      <c r="A25" s="17" t="s">
        <v>338</v>
      </c>
      <c r="B25" s="19" t="s">
        <v>511</v>
      </c>
      <c r="C25" s="157">
        <v>1.4500000000000001E-2</v>
      </c>
      <c r="D25" s="157"/>
      <c r="E25" s="150">
        <v>1.4500000000000001E-2</v>
      </c>
      <c r="F25" s="153">
        <v>1.4500000000000001E-2</v>
      </c>
      <c r="G25" s="153">
        <v>1.4500000000000001E-2</v>
      </c>
      <c r="I25" s="150">
        <v>1.4500000000000001E-2</v>
      </c>
      <c r="J25" s="149"/>
      <c r="K25" s="149">
        <v>1.4500000000000001E-2</v>
      </c>
      <c r="M25" s="153" t="s">
        <v>531</v>
      </c>
      <c r="N25" s="150">
        <v>1.4500000000000001E-2</v>
      </c>
      <c r="O25" s="150" t="s">
        <v>531</v>
      </c>
    </row>
    <row r="26" spans="1:15" hidden="1" outlineLevel="1" x14ac:dyDescent="0.2">
      <c r="A26" s="17" t="s">
        <v>339</v>
      </c>
      <c r="B26" s="19" t="s">
        <v>512</v>
      </c>
      <c r="C26" s="157">
        <v>2E-3</v>
      </c>
      <c r="D26" s="157"/>
      <c r="E26" s="150">
        <v>2E-3</v>
      </c>
      <c r="F26" s="153">
        <v>2E-3</v>
      </c>
      <c r="G26" s="153">
        <v>2E-3</v>
      </c>
      <c r="I26" s="150">
        <v>2E-3</v>
      </c>
      <c r="J26" s="149"/>
      <c r="K26" s="149">
        <v>2E-3</v>
      </c>
      <c r="M26" s="153" t="s">
        <v>531</v>
      </c>
      <c r="N26" s="150">
        <v>2E-3</v>
      </c>
      <c r="O26" s="150" t="s">
        <v>531</v>
      </c>
    </row>
    <row r="27" spans="1:15" hidden="1" outlineLevel="1" x14ac:dyDescent="0.2">
      <c r="A27" s="17" t="s">
        <v>536</v>
      </c>
      <c r="B27" s="19" t="s">
        <v>538</v>
      </c>
      <c r="C27" s="165">
        <v>0</v>
      </c>
      <c r="D27" s="165"/>
      <c r="E27" s="150">
        <v>0</v>
      </c>
      <c r="F27" s="153">
        <v>0</v>
      </c>
      <c r="G27" s="153">
        <v>0</v>
      </c>
      <c r="I27" s="166">
        <v>9.5000000000000005E-5</v>
      </c>
      <c r="J27" s="235"/>
      <c r="K27" s="149">
        <v>0</v>
      </c>
      <c r="M27" s="153">
        <v>0</v>
      </c>
      <c r="N27" s="150">
        <v>0</v>
      </c>
      <c r="O27" s="150">
        <v>0</v>
      </c>
    </row>
    <row r="28" spans="1:15" hidden="1" outlineLevel="1" x14ac:dyDescent="0.2">
      <c r="A28" s="17" t="s">
        <v>340</v>
      </c>
      <c r="B28" s="19" t="s">
        <v>513</v>
      </c>
      <c r="C28" s="157">
        <v>4.2900000000000001E-2</v>
      </c>
      <c r="D28" s="157"/>
      <c r="E28" s="150" t="s">
        <v>531</v>
      </c>
      <c r="F28" s="153">
        <v>4.2900000000000001E-2</v>
      </c>
      <c r="G28" s="153" t="s">
        <v>531</v>
      </c>
      <c r="I28" s="150">
        <v>4.2900000000000001E-2</v>
      </c>
      <c r="J28" s="149"/>
      <c r="K28" s="149" t="s">
        <v>336</v>
      </c>
      <c r="M28" s="153" t="s">
        <v>531</v>
      </c>
      <c r="N28" s="150" t="s">
        <v>531</v>
      </c>
      <c r="O28" s="150" t="s">
        <v>531</v>
      </c>
    </row>
    <row r="29" spans="1:15" hidden="1" outlineLevel="1" x14ac:dyDescent="0.2">
      <c r="A29" s="17" t="s">
        <v>341</v>
      </c>
      <c r="C29" s="158" t="s">
        <v>531</v>
      </c>
      <c r="D29" s="158"/>
      <c r="E29" s="151">
        <v>6.2E-2</v>
      </c>
      <c r="F29" s="159">
        <v>6.2E-2</v>
      </c>
      <c r="G29" s="159">
        <v>6.2E-2</v>
      </c>
      <c r="I29" s="151" t="s">
        <v>531</v>
      </c>
      <c r="J29" s="152"/>
      <c r="K29" s="152" t="s">
        <v>336</v>
      </c>
      <c r="M29" s="159" t="s">
        <v>531</v>
      </c>
      <c r="N29" s="151">
        <v>6.2E-2</v>
      </c>
      <c r="O29" s="151" t="s">
        <v>531</v>
      </c>
    </row>
    <row r="30" spans="1:15" hidden="1" outlineLevel="1" x14ac:dyDescent="0.2">
      <c r="A30" s="17" t="s">
        <v>363</v>
      </c>
      <c r="C30" s="26">
        <f>SUM(C24:C29)</f>
        <v>0.16439999999999999</v>
      </c>
      <c r="D30" s="26"/>
      <c r="E30" s="29">
        <f>SUM(E24:E29)</f>
        <v>7.85E-2</v>
      </c>
      <c r="F30" s="29">
        <f>SUM(F24:F29)</f>
        <v>0.12140000000000001</v>
      </c>
      <c r="G30" s="29">
        <f>SUM(G24:G29)</f>
        <v>7.85E-2</v>
      </c>
      <c r="I30" s="26">
        <f>SUM(I24:I29)</f>
        <v>0.26449500000000004</v>
      </c>
      <c r="J30" s="27"/>
      <c r="K30" s="85">
        <f>SUM(K24:K29)</f>
        <v>1.6500000000000001E-2</v>
      </c>
      <c r="M30" s="29">
        <f>SUM(M24:M29)</f>
        <v>0</v>
      </c>
      <c r="N30" s="85">
        <f>SUM(N24:N29)</f>
        <v>7.85E-2</v>
      </c>
      <c r="O30" s="29">
        <f>SUM(O24:O29)</f>
        <v>0</v>
      </c>
    </row>
    <row r="31" spans="1:15" hidden="1" outlineLevel="1" x14ac:dyDescent="0.2">
      <c r="A31" s="17" t="s">
        <v>532</v>
      </c>
      <c r="B31" s="19" t="s">
        <v>514</v>
      </c>
      <c r="C31" s="26">
        <v>1.4999999999999999E-2</v>
      </c>
      <c r="D31" s="26"/>
      <c r="E31" s="26">
        <v>1.4999999999999999E-2</v>
      </c>
      <c r="F31" s="26">
        <v>1.4999999999999999E-2</v>
      </c>
      <c r="G31" s="26">
        <v>1.4999999999999999E-2</v>
      </c>
      <c r="I31" s="26">
        <v>1.4999999999999999E-2</v>
      </c>
      <c r="J31" s="27"/>
      <c r="K31" s="85">
        <v>1.4999999999999999E-2</v>
      </c>
      <c r="M31" s="29">
        <v>1.4999999999999999E-2</v>
      </c>
      <c r="N31" s="27">
        <v>1.4999999999999999E-2</v>
      </c>
      <c r="O31" s="29">
        <v>1.4999999999999999E-2</v>
      </c>
    </row>
    <row r="32" spans="1:15" ht="13.5" hidden="1" outlineLevel="1" thickBot="1" x14ac:dyDescent="0.25">
      <c r="A32" s="17" t="s">
        <v>364</v>
      </c>
      <c r="C32" s="84">
        <f>SUM(C30:C31)</f>
        <v>0.1794</v>
      </c>
      <c r="D32" s="84"/>
      <c r="E32" s="84">
        <f>SUM(E30:E31)</f>
        <v>9.35E-2</v>
      </c>
      <c r="F32" s="84">
        <f>SUM(F30:F31)</f>
        <v>0.13640000000000002</v>
      </c>
      <c r="G32" s="84">
        <f>SUM(G30:G31)</f>
        <v>9.35E-2</v>
      </c>
      <c r="I32" s="84">
        <f>SUM(I30:I31)</f>
        <v>0.27949500000000005</v>
      </c>
      <c r="J32" s="84"/>
      <c r="K32" s="84">
        <f>SUM(K30:K31)</f>
        <v>3.15E-2</v>
      </c>
      <c r="M32" s="84">
        <f>SUM(M30:M31)</f>
        <v>1.4999999999999999E-2</v>
      </c>
      <c r="N32" s="84">
        <f>SUM(N30:N31)</f>
        <v>9.35E-2</v>
      </c>
      <c r="O32" s="84">
        <f>SUM(O30:O31)</f>
        <v>1.4999999999999999E-2</v>
      </c>
    </row>
    <row r="33" spans="1:15" ht="13.5" hidden="1" outlineLevel="1" thickBot="1" x14ac:dyDescent="0.25">
      <c r="C33" s="22"/>
      <c r="D33" s="22"/>
      <c r="E33" s="22"/>
      <c r="F33" s="22"/>
      <c r="G33" s="22"/>
      <c r="I33" s="22"/>
      <c r="J33" s="22"/>
      <c r="K33" s="22"/>
      <c r="M33" s="22"/>
      <c r="N33" s="22"/>
      <c r="O33" s="22"/>
    </row>
    <row r="34" spans="1:15" ht="13.5" hidden="1" outlineLevel="1" thickBot="1" x14ac:dyDescent="0.25">
      <c r="A34" s="30" t="s">
        <v>560</v>
      </c>
      <c r="B34" s="147"/>
      <c r="C34" s="233">
        <v>6687.6</v>
      </c>
      <c r="D34" s="233"/>
      <c r="E34" s="233">
        <v>6687.6</v>
      </c>
      <c r="F34" s="233">
        <v>6687.6</v>
      </c>
      <c r="G34" s="160"/>
      <c r="H34" s="11"/>
      <c r="I34" s="233">
        <v>6687.6</v>
      </c>
      <c r="J34" s="236"/>
      <c r="K34" s="160"/>
      <c r="M34" s="160"/>
      <c r="N34" s="160"/>
      <c r="O34" s="160"/>
    </row>
    <row r="35" spans="1:15" hidden="1" outlineLevel="1" x14ac:dyDescent="0.2">
      <c r="A35" s="17"/>
    </row>
    <row r="36" spans="1:15" hidden="1" outlineLevel="1" x14ac:dyDescent="0.2">
      <c r="C36" t="s">
        <v>342</v>
      </c>
    </row>
    <row r="37" spans="1:15" hidden="1" outlineLevel="1" x14ac:dyDescent="0.2">
      <c r="C37" t="s">
        <v>362</v>
      </c>
    </row>
    <row r="38" spans="1:15" hidden="1" outlineLevel="1" x14ac:dyDescent="0.2"/>
    <row r="39" spans="1:15" hidden="1" outlineLevel="1" x14ac:dyDescent="0.2">
      <c r="A39" t="s">
        <v>517</v>
      </c>
      <c r="C39" s="167" t="s">
        <v>614</v>
      </c>
    </row>
    <row r="40" spans="1:15" hidden="1" outlineLevel="1" x14ac:dyDescent="0.2">
      <c r="C40" t="s">
        <v>556</v>
      </c>
      <c r="I40" t="s">
        <v>557</v>
      </c>
      <c r="M40" t="s">
        <v>558</v>
      </c>
      <c r="O40" t="s">
        <v>559</v>
      </c>
    </row>
    <row r="41" spans="1:15" ht="33.75" hidden="1" outlineLevel="1" x14ac:dyDescent="0.2">
      <c r="A41" s="31" t="s">
        <v>344</v>
      </c>
      <c r="B41" s="18"/>
      <c r="C41" s="304" t="s">
        <v>563</v>
      </c>
      <c r="D41" s="304" t="s">
        <v>562</v>
      </c>
      <c r="E41" s="305" t="s">
        <v>331</v>
      </c>
      <c r="F41" s="305" t="s">
        <v>334</v>
      </c>
      <c r="G41" s="305" t="s">
        <v>249</v>
      </c>
      <c r="H41" s="306"/>
      <c r="I41" s="304" t="s">
        <v>563</v>
      </c>
      <c r="J41" s="304" t="s">
        <v>562</v>
      </c>
      <c r="K41" s="304" t="s">
        <v>613</v>
      </c>
      <c r="L41" s="240"/>
      <c r="M41" s="304" t="s">
        <v>730</v>
      </c>
      <c r="N41" s="304" t="s">
        <v>612</v>
      </c>
      <c r="O41" s="304" t="s">
        <v>729</v>
      </c>
    </row>
    <row r="42" spans="1:15" hidden="1" outlineLevel="1" x14ac:dyDescent="0.2">
      <c r="A42" s="17" t="s">
        <v>335</v>
      </c>
      <c r="B42" s="19" t="s">
        <v>510</v>
      </c>
      <c r="C42" s="154">
        <v>0.105</v>
      </c>
      <c r="D42" s="154">
        <v>0.21</v>
      </c>
      <c r="E42" s="148">
        <v>0.105</v>
      </c>
      <c r="F42" s="155">
        <v>6.2E-2</v>
      </c>
      <c r="G42" s="155"/>
      <c r="I42" s="148">
        <v>0.105</v>
      </c>
      <c r="J42" s="156">
        <v>0.21</v>
      </c>
      <c r="K42" s="156"/>
      <c r="M42" s="155"/>
      <c r="N42" s="518"/>
      <c r="O42" s="148"/>
    </row>
    <row r="43" spans="1:15" hidden="1" outlineLevel="1" x14ac:dyDescent="0.2">
      <c r="A43" s="17" t="s">
        <v>338</v>
      </c>
      <c r="B43" s="19" t="s">
        <v>511</v>
      </c>
      <c r="C43" s="157">
        <v>1.4500000000000001E-2</v>
      </c>
      <c r="D43" s="157">
        <v>1.4500000000000001E-2</v>
      </c>
      <c r="E43" s="150">
        <v>1.4500000000000001E-2</v>
      </c>
      <c r="F43" s="153">
        <v>1.4500000000000001E-2</v>
      </c>
      <c r="G43" s="153">
        <v>1.4500000000000001E-2</v>
      </c>
      <c r="I43" s="150">
        <v>1.4500000000000001E-2</v>
      </c>
      <c r="J43" s="149">
        <v>1.4500000000000001E-2</v>
      </c>
      <c r="K43" s="149">
        <v>1.4500000000000001E-2</v>
      </c>
      <c r="M43" s="153"/>
      <c r="N43" s="150">
        <v>1.4500000000000001E-2</v>
      </c>
      <c r="O43" s="150"/>
    </row>
    <row r="44" spans="1:15" hidden="1" outlineLevel="1" x14ac:dyDescent="0.2">
      <c r="A44" s="17" t="s">
        <v>339</v>
      </c>
      <c r="B44" s="19" t="s">
        <v>512</v>
      </c>
      <c r="C44" s="157">
        <v>2E-3</v>
      </c>
      <c r="D44" s="157">
        <v>2E-3</v>
      </c>
      <c r="E44" s="150">
        <v>2E-3</v>
      </c>
      <c r="F44" s="153">
        <v>2E-3</v>
      </c>
      <c r="G44" s="153">
        <v>2E-3</v>
      </c>
      <c r="I44" s="150">
        <v>2E-3</v>
      </c>
      <c r="J44" s="149">
        <v>2E-3</v>
      </c>
      <c r="K44" s="149">
        <v>2E-3</v>
      </c>
      <c r="M44" s="153"/>
      <c r="N44" s="150">
        <v>2E-3</v>
      </c>
      <c r="O44" s="150"/>
    </row>
    <row r="45" spans="1:15" hidden="1" outlineLevel="1" x14ac:dyDescent="0.2">
      <c r="A45" s="17" t="s">
        <v>536</v>
      </c>
      <c r="B45" s="19" t="s">
        <v>569</v>
      </c>
      <c r="C45" s="157"/>
      <c r="D45" s="165"/>
      <c r="E45" s="150"/>
      <c r="F45" s="153"/>
      <c r="G45" s="153"/>
      <c r="I45" s="150">
        <v>9.4999999999999998E-3</v>
      </c>
      <c r="J45" s="149">
        <v>9.4999999999999998E-3</v>
      </c>
      <c r="K45" s="149">
        <v>0</v>
      </c>
      <c r="M45" s="153"/>
      <c r="N45" s="150"/>
      <c r="O45" s="150"/>
    </row>
    <row r="46" spans="1:15" hidden="1" outlineLevel="1" x14ac:dyDescent="0.2">
      <c r="A46" s="17" t="s">
        <v>340</v>
      </c>
      <c r="B46" s="19" t="s">
        <v>513</v>
      </c>
      <c r="C46" s="157">
        <v>2.9700000000000001E-2</v>
      </c>
      <c r="D46" s="157">
        <v>2.9700000000000001E-2</v>
      </c>
      <c r="E46" s="150"/>
      <c r="F46" s="153">
        <v>2.9700000000000001E-2</v>
      </c>
      <c r="G46" s="153"/>
      <c r="I46" s="150">
        <v>2.9700000000000001E-2</v>
      </c>
      <c r="J46" s="149">
        <v>2.9700000000000001E-2</v>
      </c>
      <c r="K46" s="149"/>
      <c r="M46" s="153"/>
      <c r="N46" s="150"/>
      <c r="O46" s="150"/>
    </row>
    <row r="47" spans="1:15" hidden="1" outlineLevel="1" x14ac:dyDescent="0.2">
      <c r="A47" s="17" t="s">
        <v>341</v>
      </c>
      <c r="C47" s="158"/>
      <c r="D47" s="158"/>
      <c r="E47" s="151"/>
      <c r="F47" s="159"/>
      <c r="G47" s="159">
        <v>6.2E-2</v>
      </c>
      <c r="I47" s="151"/>
      <c r="J47" s="152"/>
      <c r="K47" s="152"/>
      <c r="M47" s="159"/>
      <c r="N47" s="151">
        <v>6.2E-2</v>
      </c>
      <c r="O47" s="151"/>
    </row>
    <row r="48" spans="1:15" hidden="1" outlineLevel="1" x14ac:dyDescent="0.2">
      <c r="A48" s="17" t="s">
        <v>363</v>
      </c>
      <c r="C48" s="26">
        <f>SUM(C42:C47)</f>
        <v>0.1512</v>
      </c>
      <c r="D48" s="26">
        <f>SUM(D42:D47)</f>
        <v>0.25619999999999998</v>
      </c>
      <c r="E48" s="29">
        <f>SUM(E42:E47)</f>
        <v>0.1215</v>
      </c>
      <c r="F48" s="29">
        <f>SUM(F42:F47)</f>
        <v>0.1082</v>
      </c>
      <c r="G48" s="29">
        <f>SUM(G42:G47)</f>
        <v>7.85E-2</v>
      </c>
      <c r="I48" s="26">
        <f>SUM(I42:I47)</f>
        <v>0.16070000000000001</v>
      </c>
      <c r="J48" s="26">
        <f>SUM(J42:J47)</f>
        <v>0.26569999999999999</v>
      </c>
      <c r="K48" s="85">
        <f>SUM(K42:K47)</f>
        <v>1.6500000000000001E-2</v>
      </c>
      <c r="M48" s="29">
        <f>SUM(M42:M47)</f>
        <v>0</v>
      </c>
      <c r="N48" s="85">
        <f>SUM(N42:N47)</f>
        <v>7.85E-2</v>
      </c>
      <c r="O48" s="85">
        <f>SUM(O42:O47)</f>
        <v>0</v>
      </c>
    </row>
    <row r="49" spans="1:16" hidden="1" outlineLevel="1" x14ac:dyDescent="0.2">
      <c r="A49" s="17" t="s">
        <v>532</v>
      </c>
      <c r="B49" s="19" t="s">
        <v>514</v>
      </c>
      <c r="C49" s="26">
        <v>1.4999999999999999E-2</v>
      </c>
      <c r="D49" s="26">
        <v>1.4999999999999999E-2</v>
      </c>
      <c r="E49" s="26">
        <v>1.4999999999999999E-2</v>
      </c>
      <c r="F49" s="26">
        <v>1.4999999999999999E-2</v>
      </c>
      <c r="G49" s="26">
        <v>1.4999999999999999E-2</v>
      </c>
      <c r="I49" s="26">
        <v>1.4999999999999999E-2</v>
      </c>
      <c r="J49" s="27">
        <v>1.4999999999999999E-2</v>
      </c>
      <c r="K49" s="85">
        <v>1.4999999999999999E-2</v>
      </c>
      <c r="M49" s="29">
        <v>1.4999999999999999E-2</v>
      </c>
      <c r="N49" s="27">
        <v>1.4999999999999999E-2</v>
      </c>
      <c r="O49" s="27">
        <v>1.4999999999999999E-2</v>
      </c>
    </row>
    <row r="50" spans="1:16" ht="13.5" hidden="1" outlineLevel="1" thickBot="1" x14ac:dyDescent="0.25">
      <c r="A50" s="17" t="s">
        <v>364</v>
      </c>
      <c r="C50" s="84">
        <f>SUM(C48:C49)</f>
        <v>0.16620000000000001</v>
      </c>
      <c r="D50" s="84">
        <f>SUM(D48:D49)</f>
        <v>0.2712</v>
      </c>
      <c r="E50" s="84">
        <f>SUM(E48:E49)</f>
        <v>0.13650000000000001</v>
      </c>
      <c r="F50" s="84">
        <f>SUM(F48:F49)</f>
        <v>0.1232</v>
      </c>
      <c r="G50" s="84">
        <f>SUM(G48:G49)</f>
        <v>9.35E-2</v>
      </c>
      <c r="I50" s="84">
        <f>SUM(I48:I49)</f>
        <v>0.17570000000000002</v>
      </c>
      <c r="J50" s="84">
        <f>SUM(J48:J49)</f>
        <v>0.28070000000000001</v>
      </c>
      <c r="K50" s="84">
        <f>SUM(K48:K49)</f>
        <v>3.15E-2</v>
      </c>
      <c r="M50" s="84">
        <f>SUM(M48:M49)</f>
        <v>1.4999999999999999E-2</v>
      </c>
      <c r="N50" s="84">
        <f>SUM(N48:N49)</f>
        <v>9.35E-2</v>
      </c>
      <c r="O50" s="84">
        <f>SUM(O48:O49)</f>
        <v>1.4999999999999999E-2</v>
      </c>
    </row>
    <row r="51" spans="1:16" ht="13.5" hidden="1" outlineLevel="1" thickBot="1" x14ac:dyDescent="0.25">
      <c r="C51" s="22"/>
      <c r="D51" s="22"/>
      <c r="E51" s="22"/>
      <c r="F51" s="22"/>
      <c r="G51" s="22"/>
      <c r="I51" s="22"/>
      <c r="J51" s="22"/>
      <c r="K51" s="22"/>
      <c r="M51" s="22"/>
      <c r="N51" s="22"/>
      <c r="O51" s="22"/>
    </row>
    <row r="52" spans="1:16" ht="13.5" hidden="1" outlineLevel="1" thickBot="1" x14ac:dyDescent="0.25">
      <c r="A52" s="30" t="s">
        <v>560</v>
      </c>
      <c r="B52" s="147"/>
      <c r="C52" s="233">
        <v>7514</v>
      </c>
      <c r="D52" s="233">
        <v>7514</v>
      </c>
      <c r="E52" s="233">
        <v>7514</v>
      </c>
      <c r="F52" s="233">
        <v>7514</v>
      </c>
      <c r="G52" s="160"/>
      <c r="H52" s="11"/>
      <c r="I52" s="233">
        <v>7514</v>
      </c>
      <c r="J52" s="233">
        <v>7514</v>
      </c>
      <c r="K52" s="160"/>
      <c r="M52" s="160"/>
      <c r="N52" s="160"/>
      <c r="O52" s="160"/>
    </row>
    <row r="53" spans="1:16" hidden="1" outlineLevel="1" x14ac:dyDescent="0.2">
      <c r="A53" s="17"/>
    </row>
    <row r="54" spans="1:16" hidden="1" outlineLevel="1" x14ac:dyDescent="0.2">
      <c r="A54" s="17"/>
      <c r="C54" s="15" t="s">
        <v>586</v>
      </c>
    </row>
    <row r="55" spans="1:16" hidden="1" outlineLevel="1" x14ac:dyDescent="0.2">
      <c r="A55" s="17"/>
      <c r="C55" s="306" t="s">
        <v>617</v>
      </c>
    </row>
    <row r="56" spans="1:16" hidden="1" outlineLevel="1" x14ac:dyDescent="0.2">
      <c r="C56" s="268" t="s">
        <v>587</v>
      </c>
    </row>
    <row r="57" spans="1:16" hidden="1" outlineLevel="1" x14ac:dyDescent="0.2">
      <c r="C57" s="269" t="s">
        <v>588</v>
      </c>
    </row>
    <row r="58" spans="1:16" hidden="1" outlineLevel="1" x14ac:dyDescent="0.2">
      <c r="C58" s="313" t="s">
        <v>615</v>
      </c>
    </row>
    <row r="59" spans="1:16" hidden="1" outlineLevel="1" x14ac:dyDescent="0.2"/>
    <row r="60" spans="1:16" hidden="1" outlineLevel="1" x14ac:dyDescent="0.2">
      <c r="A60" s="167" t="s">
        <v>542</v>
      </c>
      <c r="B60"/>
      <c r="C60" t="s">
        <v>657</v>
      </c>
    </row>
    <row r="61" spans="1:16" hidden="1" outlineLevel="1" x14ac:dyDescent="0.2">
      <c r="C61" t="s">
        <v>580</v>
      </c>
      <c r="I61" t="s">
        <v>581</v>
      </c>
      <c r="M61" t="s">
        <v>582</v>
      </c>
    </row>
    <row r="62" spans="1:16" ht="33.75" hidden="1" outlineLevel="1" x14ac:dyDescent="0.2">
      <c r="A62" s="241"/>
      <c r="B62" s="16"/>
      <c r="C62" s="304" t="s">
        <v>563</v>
      </c>
      <c r="D62" s="304" t="s">
        <v>562</v>
      </c>
      <c r="E62" s="305" t="s">
        <v>331</v>
      </c>
      <c r="F62" s="305" t="s">
        <v>334</v>
      </c>
      <c r="G62" s="305" t="s">
        <v>249</v>
      </c>
      <c r="H62" s="306"/>
      <c r="I62" s="304" t="s">
        <v>563</v>
      </c>
      <c r="J62" s="304" t="s">
        <v>562</v>
      </c>
      <c r="K62" s="304" t="s">
        <v>613</v>
      </c>
      <c r="L62" s="240"/>
      <c r="M62" s="304" t="s">
        <v>730</v>
      </c>
      <c r="N62" s="304" t="s">
        <v>612</v>
      </c>
      <c r="O62" s="304" t="s">
        <v>729</v>
      </c>
    </row>
    <row r="63" spans="1:16" hidden="1" outlineLevel="1" x14ac:dyDescent="0.2">
      <c r="A63" s="300" t="s">
        <v>604</v>
      </c>
      <c r="B63" s="241"/>
      <c r="C63" s="241"/>
      <c r="D63" s="301">
        <v>0.90293000000000001</v>
      </c>
      <c r="E63" s="241"/>
      <c r="F63" s="241"/>
      <c r="G63" s="241"/>
      <c r="H63" s="241"/>
      <c r="I63" s="241"/>
      <c r="J63" s="301">
        <v>0.90293000000000001</v>
      </c>
      <c r="K63" s="241"/>
      <c r="L63" s="241"/>
      <c r="M63" s="241"/>
      <c r="N63" s="241"/>
      <c r="O63" s="241"/>
      <c r="P63" s="237"/>
    </row>
    <row r="64" spans="1:16" hidden="1" outlineLevel="1" x14ac:dyDescent="0.2">
      <c r="A64" s="241" t="s">
        <v>564</v>
      </c>
      <c r="B64" s="238" t="s">
        <v>510</v>
      </c>
      <c r="C64" s="242">
        <v>0.1125</v>
      </c>
      <c r="D64" s="242">
        <v>0.215</v>
      </c>
      <c r="E64" s="242">
        <v>0.1125</v>
      </c>
      <c r="F64" s="242">
        <v>6.2E-2</v>
      </c>
      <c r="G64" s="242"/>
      <c r="H64" s="240"/>
      <c r="I64" s="242">
        <v>0.1125</v>
      </c>
      <c r="J64" s="242">
        <v>0.215</v>
      </c>
      <c r="K64" s="242"/>
      <c r="L64" s="240"/>
      <c r="M64" s="242"/>
      <c r="N64" s="242"/>
      <c r="O64" s="242"/>
    </row>
    <row r="65" spans="1:15" hidden="1" outlineLevel="1" x14ac:dyDescent="0.2">
      <c r="A65" s="241" t="s">
        <v>565</v>
      </c>
      <c r="B65" s="238" t="s">
        <v>511</v>
      </c>
      <c r="C65" s="242">
        <v>1.4500000000000001E-2</v>
      </c>
      <c r="D65" s="242">
        <v>1.4500000000000001E-2</v>
      </c>
      <c r="E65" s="242">
        <v>1.4500000000000001E-2</v>
      </c>
      <c r="F65" s="242">
        <v>1.4500000000000001E-2</v>
      </c>
      <c r="G65" s="242">
        <v>1.4500000000000001E-2</v>
      </c>
      <c r="H65" s="240"/>
      <c r="I65" s="242">
        <v>1.4500000000000001E-2</v>
      </c>
      <c r="J65" s="242">
        <v>1.4500000000000001E-2</v>
      </c>
      <c r="K65" s="242">
        <v>1.4500000000000001E-2</v>
      </c>
      <c r="L65" s="240"/>
      <c r="M65" s="242"/>
      <c r="N65" s="242">
        <v>1.4500000000000001E-2</v>
      </c>
      <c r="O65" s="242"/>
    </row>
    <row r="66" spans="1:15" hidden="1" outlineLevel="1" x14ac:dyDescent="0.2">
      <c r="A66" s="241" t="s">
        <v>566</v>
      </c>
      <c r="B66" s="238" t="s">
        <v>512</v>
      </c>
      <c r="C66" s="242">
        <v>2E-3</v>
      </c>
      <c r="D66" s="242">
        <v>2E-3</v>
      </c>
      <c r="E66" s="242">
        <v>2E-3</v>
      </c>
      <c r="F66" s="242">
        <v>2E-3</v>
      </c>
      <c r="G66" s="242">
        <v>2E-3</v>
      </c>
      <c r="H66" s="240"/>
      <c r="I66" s="242">
        <v>2E-3</v>
      </c>
      <c r="J66" s="242">
        <v>2E-3</v>
      </c>
      <c r="K66" s="242">
        <v>2E-3</v>
      </c>
      <c r="L66" s="240"/>
      <c r="M66" s="242"/>
      <c r="N66" s="242">
        <v>2E-3</v>
      </c>
      <c r="O66" s="242"/>
    </row>
    <row r="67" spans="1:15" hidden="1" outlineLevel="1" x14ac:dyDescent="0.2">
      <c r="A67" s="241" t="s">
        <v>340</v>
      </c>
      <c r="B67" s="238" t="s">
        <v>513</v>
      </c>
      <c r="C67" s="242">
        <v>2.3E-2</v>
      </c>
      <c r="D67" s="242">
        <v>2.3E-2</v>
      </c>
      <c r="E67" s="242"/>
      <c r="F67" s="242">
        <v>2.3E-2</v>
      </c>
      <c r="G67" s="242"/>
      <c r="H67" s="240"/>
      <c r="I67" s="242">
        <v>2.3E-2</v>
      </c>
      <c r="J67" s="242">
        <v>2.3E-2</v>
      </c>
      <c r="K67" s="242"/>
      <c r="L67" s="240"/>
      <c r="M67" s="242"/>
      <c r="N67" s="242"/>
      <c r="O67" s="242"/>
    </row>
    <row r="68" spans="1:15" hidden="1" outlineLevel="1" x14ac:dyDescent="0.2">
      <c r="A68" s="241" t="s">
        <v>584</v>
      </c>
      <c r="B68" s="238" t="s">
        <v>530</v>
      </c>
      <c r="C68" s="247"/>
      <c r="D68" s="247"/>
      <c r="E68" s="247"/>
      <c r="F68" s="247"/>
      <c r="G68" s="315" t="s">
        <v>616</v>
      </c>
      <c r="H68" s="240"/>
      <c r="I68" s="247"/>
      <c r="J68" s="247"/>
      <c r="K68" s="247"/>
      <c r="L68" s="240"/>
      <c r="M68" s="247"/>
      <c r="N68" s="315" t="s">
        <v>616</v>
      </c>
      <c r="O68" s="315"/>
    </row>
    <row r="69" spans="1:15" hidden="1" outlineLevel="1" x14ac:dyDescent="0.2">
      <c r="A69" s="245" t="s">
        <v>568</v>
      </c>
      <c r="B69" s="238"/>
      <c r="C69" s="243">
        <f>SUM(C64:C68)</f>
        <v>0.152</v>
      </c>
      <c r="D69" s="243">
        <f>SUM(D64:D68)</f>
        <v>0.2545</v>
      </c>
      <c r="E69" s="244">
        <f>SUM(E64:E68)</f>
        <v>0.129</v>
      </c>
      <c r="F69" s="244">
        <f>SUM(F64:F68)</f>
        <v>0.10150000000000001</v>
      </c>
      <c r="G69" s="244">
        <f>SUM(G64:G68)</f>
        <v>1.6500000000000001E-2</v>
      </c>
      <c r="H69" s="240"/>
      <c r="I69" s="244">
        <f>SUM(I64:I68)</f>
        <v>0.152</v>
      </c>
      <c r="J69" s="244">
        <f>SUM(J64:J68)</f>
        <v>0.2545</v>
      </c>
      <c r="K69" s="244">
        <f>SUM(K64:K68)</f>
        <v>1.6500000000000001E-2</v>
      </c>
      <c r="L69" s="240"/>
      <c r="M69" s="244">
        <f>SUM(M64:M68)</f>
        <v>0</v>
      </c>
      <c r="N69" s="244">
        <f>SUM(N64:N68)</f>
        <v>1.6500000000000001E-2</v>
      </c>
      <c r="O69" s="244">
        <f>SUM(O64:O68)</f>
        <v>0</v>
      </c>
    </row>
    <row r="70" spans="1:15" hidden="1" outlineLevel="1" x14ac:dyDescent="0.2">
      <c r="A70" s="241" t="s">
        <v>585</v>
      </c>
      <c r="B70" s="238" t="s">
        <v>514</v>
      </c>
      <c r="C70" s="243">
        <v>1.4999999999999999E-2</v>
      </c>
      <c r="D70" s="243">
        <v>1.4999999999999999E-2</v>
      </c>
      <c r="E70" s="243">
        <v>1.4999999999999999E-2</v>
      </c>
      <c r="F70" s="243">
        <v>1.4999999999999999E-2</v>
      </c>
      <c r="G70" s="243">
        <v>1.4999999999999999E-2</v>
      </c>
      <c r="H70" s="240"/>
      <c r="I70" s="243">
        <v>1.4999999999999999E-2</v>
      </c>
      <c r="J70" s="243">
        <v>1.4999999999999999E-2</v>
      </c>
      <c r="K70" s="243">
        <v>1.4999999999999999E-2</v>
      </c>
      <c r="L70" s="240"/>
      <c r="M70" s="243">
        <v>1.4999999999999999E-2</v>
      </c>
      <c r="N70" s="243">
        <v>1.4999999999999999E-2</v>
      </c>
      <c r="O70" s="243">
        <v>1.4999999999999999E-2</v>
      </c>
    </row>
    <row r="71" spans="1:15" hidden="1" outlineLevel="1" x14ac:dyDescent="0.2">
      <c r="A71" s="245" t="s">
        <v>541</v>
      </c>
      <c r="B71" s="238"/>
      <c r="C71" s="248">
        <f>SUM(C69:C70)</f>
        <v>0.16699999999999998</v>
      </c>
      <c r="D71" s="248">
        <f>SUM(D69:D70)</f>
        <v>0.26950000000000002</v>
      </c>
      <c r="E71" s="248">
        <f>SUM(E69:E70)</f>
        <v>0.14400000000000002</v>
      </c>
      <c r="F71" s="248">
        <f>SUM(F69:F70)</f>
        <v>0.11650000000000001</v>
      </c>
      <c r="G71" s="248">
        <f>SUM(G69:G70)</f>
        <v>3.15E-2</v>
      </c>
      <c r="H71" s="240"/>
      <c r="I71" s="248">
        <f>SUM(I69:I70)</f>
        <v>0.16699999999999998</v>
      </c>
      <c r="J71" s="248">
        <f>SUM(J69:J70)</f>
        <v>0.26950000000000002</v>
      </c>
      <c r="K71" s="248">
        <f>SUM(K69:K70)</f>
        <v>3.15E-2</v>
      </c>
      <c r="L71" s="240"/>
      <c r="M71" s="248">
        <f>SUM(M69:M70)</f>
        <v>1.4999999999999999E-2</v>
      </c>
      <c r="N71" s="248">
        <f>SUM(N69:N70)</f>
        <v>3.15E-2</v>
      </c>
      <c r="O71" s="248">
        <f>SUM(O69:O70)</f>
        <v>1.4999999999999999E-2</v>
      </c>
    </row>
    <row r="72" spans="1:15" hidden="1" outlineLevel="1" x14ac:dyDescent="0.2">
      <c r="A72" s="366" t="s">
        <v>640</v>
      </c>
      <c r="B72" s="238"/>
      <c r="C72" s="243">
        <f>C65+C66+C67</f>
        <v>3.95E-2</v>
      </c>
      <c r="D72" s="243">
        <f>D65+D66+D67</f>
        <v>3.95E-2</v>
      </c>
      <c r="E72" s="243"/>
      <c r="F72" s="243"/>
      <c r="G72" s="243"/>
      <c r="H72" s="240"/>
      <c r="I72" s="243">
        <f>I65+I66+I67</f>
        <v>3.95E-2</v>
      </c>
      <c r="J72" s="243">
        <f>J65+J66+J67</f>
        <v>3.95E-2</v>
      </c>
      <c r="K72" s="243"/>
      <c r="L72" s="240"/>
      <c r="M72" s="243"/>
      <c r="N72" s="243"/>
      <c r="O72" s="243"/>
    </row>
    <row r="73" spans="1:15" hidden="1" outlineLevel="1" x14ac:dyDescent="0.2">
      <c r="A73" s="246" t="s">
        <v>595</v>
      </c>
      <c r="B73" s="238" t="s">
        <v>593</v>
      </c>
      <c r="C73" s="249">
        <v>7518</v>
      </c>
      <c r="D73" s="249">
        <f>C73</f>
        <v>7518</v>
      </c>
      <c r="E73" s="249">
        <f>C73</f>
        <v>7518</v>
      </c>
      <c r="F73" s="249">
        <f>C73</f>
        <v>7518</v>
      </c>
      <c r="G73" s="240"/>
      <c r="H73" s="240"/>
      <c r="I73" s="249">
        <f>C73</f>
        <v>7518</v>
      </c>
      <c r="J73" s="249">
        <f>C73</f>
        <v>7518</v>
      </c>
      <c r="K73" s="240"/>
      <c r="L73" s="240"/>
      <c r="M73" s="321" t="s">
        <v>618</v>
      </c>
      <c r="N73" s="240"/>
      <c r="O73" s="240"/>
    </row>
    <row r="74" spans="1:15" hidden="1" outlineLevel="1" x14ac:dyDescent="0.2">
      <c r="A74" s="241" t="s">
        <v>567</v>
      </c>
      <c r="B74" s="238" t="s">
        <v>569</v>
      </c>
      <c r="C74" s="242"/>
      <c r="D74" s="242"/>
      <c r="E74" s="242"/>
      <c r="F74" s="242"/>
      <c r="G74" s="242"/>
      <c r="H74" s="240"/>
      <c r="I74" s="242">
        <v>7.7999999999999996E-3</v>
      </c>
      <c r="J74" s="242">
        <v>7.7999999999999996E-3</v>
      </c>
      <c r="K74" s="242"/>
      <c r="L74" s="240"/>
      <c r="M74" s="242"/>
      <c r="N74" s="242"/>
      <c r="O74" s="242"/>
    </row>
    <row r="75" spans="1:15" hidden="1" outlineLevel="1" x14ac:dyDescent="0.2">
      <c r="A75" s="240"/>
      <c r="B75" s="238"/>
      <c r="C75" s="240"/>
      <c r="D75" s="240"/>
      <c r="E75" s="240"/>
      <c r="F75" s="240"/>
      <c r="G75" s="240"/>
      <c r="H75" s="240"/>
      <c r="I75" s="240"/>
      <c r="J75" s="240"/>
      <c r="K75" s="240"/>
      <c r="L75" s="240"/>
      <c r="M75" s="240"/>
      <c r="N75" s="240"/>
      <c r="O75" s="240"/>
    </row>
    <row r="76" spans="1:15" hidden="1" outlineLevel="1" x14ac:dyDescent="0.2">
      <c r="A76" s="240"/>
      <c r="B76" s="238"/>
      <c r="C76" s="314" t="s">
        <v>589</v>
      </c>
      <c r="D76" s="240"/>
      <c r="E76" s="240"/>
      <c r="F76" s="240"/>
      <c r="G76" s="240"/>
      <c r="H76" s="240"/>
      <c r="I76" s="240"/>
      <c r="J76" s="240"/>
      <c r="K76" s="240"/>
      <c r="L76" s="240"/>
      <c r="M76" s="240"/>
      <c r="N76" s="240"/>
      <c r="O76" s="240"/>
    </row>
    <row r="77" spans="1:15" hidden="1" outlineLevel="1" x14ac:dyDescent="0.2">
      <c r="A77" s="240"/>
      <c r="B77" s="238"/>
      <c r="C77" s="306" t="s">
        <v>620</v>
      </c>
      <c r="D77" s="240"/>
      <c r="E77" s="240"/>
      <c r="F77" s="240"/>
      <c r="G77" s="240"/>
      <c r="H77" s="240"/>
      <c r="I77" s="240"/>
      <c r="J77" s="240"/>
      <c r="K77" s="240"/>
      <c r="L77" s="240"/>
      <c r="M77" s="240"/>
      <c r="N77" s="240"/>
      <c r="O77" s="240"/>
    </row>
    <row r="78" spans="1:15" hidden="1" outlineLevel="1" x14ac:dyDescent="0.2">
      <c r="A78" s="240"/>
      <c r="B78" s="238"/>
      <c r="C78" s="268" t="s">
        <v>587</v>
      </c>
      <c r="D78" s="240"/>
      <c r="E78" s="240"/>
      <c r="F78" s="240"/>
      <c r="G78" s="240"/>
      <c r="H78" s="240"/>
      <c r="I78" s="240"/>
      <c r="J78" s="240"/>
      <c r="K78" s="240"/>
      <c r="L78" s="240"/>
      <c r="M78" s="240"/>
      <c r="N78" s="240"/>
      <c r="O78" s="240"/>
    </row>
    <row r="79" spans="1:15" hidden="1" outlineLevel="1" x14ac:dyDescent="0.2">
      <c r="A79" s="240"/>
      <c r="B79" s="238"/>
      <c r="C79" s="306" t="s">
        <v>619</v>
      </c>
      <c r="D79" s="240"/>
      <c r="E79" s="240"/>
      <c r="F79" s="240"/>
      <c r="G79" s="240"/>
      <c r="H79" s="240"/>
      <c r="I79" s="240"/>
      <c r="J79" s="240"/>
      <c r="K79" s="240"/>
      <c r="L79" s="240"/>
      <c r="M79" s="240"/>
      <c r="N79" s="240"/>
      <c r="O79" s="240"/>
    </row>
    <row r="80" spans="1:15" hidden="1" outlineLevel="1" x14ac:dyDescent="0.2">
      <c r="A80" s="240"/>
      <c r="B80" s="238"/>
      <c r="D80" s="240"/>
      <c r="E80" s="240"/>
      <c r="F80" s="240"/>
      <c r="G80" s="240"/>
      <c r="H80" s="240"/>
      <c r="I80" s="240"/>
      <c r="J80" s="240"/>
      <c r="K80" s="240"/>
      <c r="L80" s="240"/>
      <c r="M80" s="240"/>
      <c r="N80" s="240"/>
      <c r="O80" s="240"/>
    </row>
    <row r="81" spans="1:15" hidden="1" outlineLevel="1" x14ac:dyDescent="0.2">
      <c r="C81" s="281" t="s">
        <v>596</v>
      </c>
      <c r="D81" s="282"/>
      <c r="E81" s="282"/>
      <c r="F81" s="282"/>
      <c r="G81" s="282"/>
      <c r="H81" s="282"/>
      <c r="I81" s="283" t="s">
        <v>601</v>
      </c>
      <c r="J81" s="284" t="s">
        <v>598</v>
      </c>
      <c r="K81" s="284" t="s">
        <v>599</v>
      </c>
      <c r="L81" s="284"/>
      <c r="M81" s="285" t="s">
        <v>602</v>
      </c>
    </row>
    <row r="82" spans="1:15" hidden="1" outlineLevel="1" x14ac:dyDescent="0.2">
      <c r="C82" s="286" t="s">
        <v>597</v>
      </c>
      <c r="D82" s="287"/>
      <c r="E82" s="287"/>
      <c r="F82" s="287"/>
      <c r="G82" s="287"/>
      <c r="H82" s="287"/>
      <c r="I82" s="288" t="s">
        <v>340</v>
      </c>
      <c r="J82" s="289">
        <v>1.17E-2</v>
      </c>
      <c r="K82" s="289">
        <v>2.3E-2</v>
      </c>
      <c r="L82" s="287"/>
      <c r="M82" s="290">
        <f>K82-J82</f>
        <v>1.1299999999999999E-2</v>
      </c>
    </row>
    <row r="83" spans="1:15" hidden="1" outlineLevel="1" x14ac:dyDescent="0.2">
      <c r="C83" s="291"/>
      <c r="D83" s="292"/>
      <c r="E83" s="292"/>
      <c r="F83" s="292"/>
      <c r="G83" s="292"/>
      <c r="H83" s="292"/>
      <c r="I83" s="293" t="s">
        <v>600</v>
      </c>
      <c r="J83" s="294">
        <v>6897</v>
      </c>
      <c r="K83" s="294">
        <v>7518</v>
      </c>
      <c r="L83" s="294"/>
      <c r="M83" s="295">
        <f>K83-J83</f>
        <v>621</v>
      </c>
    </row>
    <row r="84" spans="1:15" hidden="1" outlineLevel="1" x14ac:dyDescent="0.2"/>
    <row r="85" spans="1:15" hidden="1" outlineLevel="1" x14ac:dyDescent="0.2">
      <c r="A85" s="167" t="s">
        <v>605</v>
      </c>
      <c r="C85" s="167" t="s">
        <v>738</v>
      </c>
    </row>
    <row r="86" spans="1:15" hidden="1" outlineLevel="1" x14ac:dyDescent="0.2">
      <c r="C86" t="s">
        <v>580</v>
      </c>
      <c r="I86" t="s">
        <v>581</v>
      </c>
      <c r="M86" t="s">
        <v>582</v>
      </c>
    </row>
    <row r="87" spans="1:15" ht="33.75" hidden="1" outlineLevel="1" x14ac:dyDescent="0.2">
      <c r="A87" s="241"/>
      <c r="B87" s="16"/>
      <c r="C87" s="304" t="s">
        <v>563</v>
      </c>
      <c r="D87" s="304" t="s">
        <v>562</v>
      </c>
      <c r="E87" s="305" t="s">
        <v>331</v>
      </c>
      <c r="F87" s="305" t="s">
        <v>334</v>
      </c>
      <c r="G87" s="305" t="s">
        <v>249</v>
      </c>
      <c r="H87" s="306"/>
      <c r="I87" s="304" t="s">
        <v>563</v>
      </c>
      <c r="J87" s="304" t="s">
        <v>562</v>
      </c>
      <c r="K87" s="304" t="s">
        <v>613</v>
      </c>
      <c r="L87" s="240"/>
      <c r="M87" s="304" t="s">
        <v>730</v>
      </c>
      <c r="N87" s="304" t="s">
        <v>612</v>
      </c>
      <c r="O87" s="304" t="s">
        <v>729</v>
      </c>
    </row>
    <row r="88" spans="1:15" hidden="1" outlineLevel="1" x14ac:dyDescent="0.2">
      <c r="A88" s="300" t="s">
        <v>604</v>
      </c>
      <c r="B88" s="241"/>
      <c r="C88" s="241"/>
      <c r="D88" s="301">
        <v>0.90293000000000001</v>
      </c>
      <c r="E88" s="241"/>
      <c r="F88" s="241"/>
      <c r="G88" s="241"/>
      <c r="H88" s="241"/>
      <c r="I88" s="241"/>
      <c r="J88" s="301">
        <v>0.90293000000000001</v>
      </c>
      <c r="K88" s="241"/>
      <c r="L88" s="241"/>
      <c r="M88" s="241"/>
      <c r="N88" s="241"/>
      <c r="O88" s="241"/>
    </row>
    <row r="89" spans="1:15" hidden="1" outlineLevel="1" x14ac:dyDescent="0.2">
      <c r="A89" s="241"/>
      <c r="B89" s="237"/>
      <c r="C89" s="241"/>
      <c r="D89" s="241"/>
      <c r="E89" s="241"/>
      <c r="F89" s="241"/>
      <c r="G89" s="241"/>
      <c r="H89" s="241"/>
      <c r="I89" s="241"/>
      <c r="J89" s="241"/>
      <c r="K89" s="241"/>
      <c r="L89" s="241"/>
      <c r="M89" s="241"/>
      <c r="N89" s="241"/>
      <c r="O89" s="241"/>
    </row>
    <row r="90" spans="1:15" hidden="1" outlineLevel="1" x14ac:dyDescent="0.2">
      <c r="A90" s="241" t="s">
        <v>564</v>
      </c>
      <c r="B90" s="238" t="s">
        <v>510</v>
      </c>
      <c r="C90" s="242">
        <v>0.1125</v>
      </c>
      <c r="D90" s="242">
        <v>0.215</v>
      </c>
      <c r="E90" s="242">
        <v>0.1125</v>
      </c>
      <c r="F90" s="242"/>
      <c r="G90" s="242" t="s">
        <v>531</v>
      </c>
      <c r="H90" s="240"/>
      <c r="I90" s="242">
        <v>0.1125</v>
      </c>
      <c r="J90" s="242">
        <v>0.215</v>
      </c>
      <c r="K90" s="242"/>
      <c r="L90" s="240"/>
      <c r="M90" s="242"/>
      <c r="N90" s="242"/>
      <c r="O90" s="242"/>
    </row>
    <row r="91" spans="1:15" hidden="1" outlineLevel="1" x14ac:dyDescent="0.2">
      <c r="A91" s="300" t="s">
        <v>660</v>
      </c>
      <c r="B91" s="238" t="s">
        <v>511</v>
      </c>
      <c r="C91" s="242">
        <v>1.4500000000000001E-2</v>
      </c>
      <c r="D91" s="242">
        <v>1.4500000000000001E-2</v>
      </c>
      <c r="E91" s="242">
        <v>1.4500000000000001E-2</v>
      </c>
      <c r="F91" s="242"/>
      <c r="G91" s="242">
        <v>1.4500000000000001E-2</v>
      </c>
      <c r="H91" s="240"/>
      <c r="I91" s="242">
        <v>1.4500000000000001E-2</v>
      </c>
      <c r="J91" s="242">
        <v>1.4500000000000001E-2</v>
      </c>
      <c r="K91" s="242">
        <v>1.4500000000000001E-2</v>
      </c>
      <c r="L91" s="240"/>
      <c r="M91" s="242"/>
      <c r="N91" s="242">
        <v>1.4500000000000001E-2</v>
      </c>
      <c r="O91" s="242"/>
    </row>
    <row r="92" spans="1:15" hidden="1" outlineLevel="1" x14ac:dyDescent="0.2">
      <c r="A92" s="300" t="s">
        <v>662</v>
      </c>
      <c r="B92" s="238" t="s">
        <v>512</v>
      </c>
      <c r="C92" s="242">
        <v>4.0000000000000001E-3</v>
      </c>
      <c r="D92" s="242">
        <v>4.0000000000000001E-3</v>
      </c>
      <c r="E92" s="242">
        <v>4.0000000000000001E-3</v>
      </c>
      <c r="F92" s="242"/>
      <c r="G92" s="242">
        <v>4.0000000000000001E-3</v>
      </c>
      <c r="H92" s="240"/>
      <c r="I92" s="242">
        <v>4.0000000000000001E-3</v>
      </c>
      <c r="J92" s="242">
        <v>4.0000000000000001E-3</v>
      </c>
      <c r="K92" s="242">
        <v>4.0000000000000001E-3</v>
      </c>
      <c r="L92" s="240"/>
      <c r="M92" s="242"/>
      <c r="N92" s="242">
        <v>4.0000000000000001E-3</v>
      </c>
      <c r="O92" s="242"/>
    </row>
    <row r="93" spans="1:15" hidden="1" outlineLevel="1" x14ac:dyDescent="0.2">
      <c r="A93" s="300" t="s">
        <v>661</v>
      </c>
      <c r="B93" s="238" t="s">
        <v>513</v>
      </c>
      <c r="C93" s="242">
        <v>6.5799999999999999E-3</v>
      </c>
      <c r="D93" s="242">
        <v>6.5799999999999999E-3</v>
      </c>
      <c r="E93" s="242"/>
      <c r="F93" s="242"/>
      <c r="G93" s="242"/>
      <c r="H93" s="240"/>
      <c r="I93" s="242">
        <v>6.5799999999999999E-3</v>
      </c>
      <c r="J93" s="242">
        <v>6.5799999999999999E-3</v>
      </c>
      <c r="K93" s="242"/>
      <c r="L93" s="240"/>
      <c r="M93" s="242"/>
      <c r="N93" s="242"/>
      <c r="O93" s="242"/>
    </row>
    <row r="94" spans="1:15" hidden="1" outlineLevel="1" x14ac:dyDescent="0.2">
      <c r="A94" s="241" t="s">
        <v>584</v>
      </c>
      <c r="B94" s="238" t="s">
        <v>530</v>
      </c>
      <c r="C94" s="247"/>
      <c r="D94" s="247"/>
      <c r="E94" s="247"/>
      <c r="F94" s="247"/>
      <c r="G94" s="315" t="s">
        <v>616</v>
      </c>
      <c r="H94" s="240"/>
      <c r="I94" s="247"/>
      <c r="J94" s="247"/>
      <c r="K94" s="247"/>
      <c r="L94" s="240"/>
      <c r="M94" s="247"/>
      <c r="N94" s="315" t="s">
        <v>616</v>
      </c>
      <c r="O94" s="315"/>
    </row>
    <row r="95" spans="1:15" hidden="1" outlineLevel="1" x14ac:dyDescent="0.2">
      <c r="A95" s="245" t="s">
        <v>568</v>
      </c>
      <c r="B95" s="238"/>
      <c r="C95" s="243">
        <f>SUM(C90:C94)</f>
        <v>0.13758000000000001</v>
      </c>
      <c r="D95" s="243">
        <f>SUM(D90:D94)</f>
        <v>0.24008000000000002</v>
      </c>
      <c r="E95" s="244">
        <f>SUM(E90:E94)</f>
        <v>0.13100000000000001</v>
      </c>
      <c r="F95" s="244">
        <f>SUM(F90:F94)</f>
        <v>0</v>
      </c>
      <c r="G95" s="244">
        <f>SUM(G90:G94)</f>
        <v>1.8500000000000003E-2</v>
      </c>
      <c r="H95" s="240"/>
      <c r="I95" s="244">
        <f>SUM(I90:I94)</f>
        <v>0.13758000000000001</v>
      </c>
      <c r="J95" s="244">
        <f>SUM(J90:J94)</f>
        <v>0.24008000000000002</v>
      </c>
      <c r="K95" s="244">
        <f>SUM(K90:K94)</f>
        <v>1.8500000000000003E-2</v>
      </c>
      <c r="L95" s="240"/>
      <c r="M95" s="244">
        <f>SUM(M90:M94)</f>
        <v>0</v>
      </c>
      <c r="N95" s="244">
        <f>SUM(N90:N94)</f>
        <v>1.8500000000000003E-2</v>
      </c>
      <c r="O95" s="244">
        <f>SUM(O90:O94)</f>
        <v>0</v>
      </c>
    </row>
    <row r="96" spans="1:15" hidden="1" outlineLevel="1" x14ac:dyDescent="0.2">
      <c r="A96" s="241" t="s">
        <v>585</v>
      </c>
      <c r="B96" s="238" t="s">
        <v>514</v>
      </c>
      <c r="C96" s="243">
        <v>1.4999999999999999E-2</v>
      </c>
      <c r="D96" s="243">
        <v>1.4999999999999999E-2</v>
      </c>
      <c r="E96" s="243">
        <v>1.4999999999999999E-2</v>
      </c>
      <c r="F96" s="243"/>
      <c r="G96" s="243">
        <v>1.4999999999999999E-2</v>
      </c>
      <c r="H96" s="240"/>
      <c r="I96" s="243">
        <v>1.4999999999999999E-2</v>
      </c>
      <c r="J96" s="243">
        <v>1.4999999999999999E-2</v>
      </c>
      <c r="K96" s="243">
        <v>1.4999999999999999E-2</v>
      </c>
      <c r="L96" s="240"/>
      <c r="M96" s="243">
        <v>1.4999999999999999E-2</v>
      </c>
      <c r="N96" s="243">
        <v>1.4999999999999999E-2</v>
      </c>
      <c r="O96" s="243">
        <v>1.4999999999999999E-2</v>
      </c>
    </row>
    <row r="97" spans="1:15" hidden="1" outlineLevel="1" x14ac:dyDescent="0.2">
      <c r="A97" s="245" t="s">
        <v>541</v>
      </c>
      <c r="B97" s="238"/>
      <c r="C97" s="248">
        <f>SUM(C95:C96)</f>
        <v>0.15257999999999999</v>
      </c>
      <c r="D97" s="248">
        <f>SUM(D95:D96)</f>
        <v>0.25508000000000003</v>
      </c>
      <c r="E97" s="248">
        <f>SUM(E95:E96)</f>
        <v>0.14600000000000002</v>
      </c>
      <c r="F97" s="248">
        <f>SUM(F95:F96)</f>
        <v>0</v>
      </c>
      <c r="G97" s="248">
        <f>SUM(G95:G96)</f>
        <v>3.3500000000000002E-2</v>
      </c>
      <c r="H97" s="240"/>
      <c r="I97" s="248">
        <f>SUM(I95:I96)</f>
        <v>0.15257999999999999</v>
      </c>
      <c r="J97" s="248">
        <f>SUM(J95:J96)</f>
        <v>0.25508000000000003</v>
      </c>
      <c r="K97" s="248">
        <f>SUM(K95:K96)</f>
        <v>3.3500000000000002E-2</v>
      </c>
      <c r="L97" s="240"/>
      <c r="M97" s="248">
        <f>SUM(M95:M96)</f>
        <v>1.4999999999999999E-2</v>
      </c>
      <c r="N97" s="248">
        <f>SUM(N95:N96)</f>
        <v>3.3500000000000002E-2</v>
      </c>
      <c r="O97" s="248">
        <f>SUM(O95:O96)</f>
        <v>1.4999999999999999E-2</v>
      </c>
    </row>
    <row r="98" spans="1:15" hidden="1" outlineLevel="1" x14ac:dyDescent="0.2">
      <c r="A98" s="245"/>
      <c r="B98" s="238"/>
      <c r="C98" s="243"/>
      <c r="D98" s="243"/>
      <c r="E98" s="243"/>
      <c r="F98" s="243"/>
      <c r="G98" s="243"/>
      <c r="H98" s="240"/>
      <c r="I98" s="243"/>
      <c r="J98" s="243"/>
      <c r="K98" s="243"/>
      <c r="L98" s="240"/>
      <c r="M98" s="243"/>
      <c r="N98" s="243"/>
      <c r="O98" s="243"/>
    </row>
    <row r="99" spans="1:15" hidden="1" outlineLevel="1" x14ac:dyDescent="0.2">
      <c r="A99" s="366" t="s">
        <v>663</v>
      </c>
      <c r="B99" s="238"/>
      <c r="C99" s="243">
        <f>C91+C92+C93</f>
        <v>2.5080000000000002E-2</v>
      </c>
      <c r="D99" s="243">
        <f>D91+D92+D93</f>
        <v>2.5080000000000002E-2</v>
      </c>
      <c r="E99" s="243"/>
      <c r="F99" s="243"/>
      <c r="G99" s="243"/>
      <c r="H99" s="240"/>
      <c r="I99" s="243">
        <f>I91+I92+I93</f>
        <v>2.5080000000000002E-2</v>
      </c>
      <c r="J99" s="243">
        <f>J91+J92+J93</f>
        <v>2.5080000000000002E-2</v>
      </c>
      <c r="K99" s="243"/>
      <c r="L99" s="240"/>
      <c r="M99" s="243"/>
      <c r="N99" s="243"/>
      <c r="O99" s="243"/>
    </row>
    <row r="100" spans="1:15" hidden="1" outlineLevel="1" x14ac:dyDescent="0.2">
      <c r="A100" s="245"/>
      <c r="B100" s="238"/>
      <c r="C100" s="243"/>
      <c r="D100" s="243"/>
      <c r="E100" s="243"/>
      <c r="F100" s="243"/>
      <c r="G100" s="243"/>
      <c r="H100" s="240"/>
      <c r="I100" s="243"/>
      <c r="J100" s="243"/>
      <c r="K100" s="243"/>
      <c r="L100" s="240"/>
      <c r="M100" s="243"/>
      <c r="N100" s="243"/>
      <c r="O100" s="243"/>
    </row>
    <row r="101" spans="1:15" hidden="1" outlineLevel="1" x14ac:dyDescent="0.2">
      <c r="A101" s="246" t="s">
        <v>595</v>
      </c>
      <c r="B101" s="238" t="s">
        <v>593</v>
      </c>
      <c r="C101" s="249">
        <v>8170</v>
      </c>
      <c r="D101" s="249">
        <f>C101</f>
        <v>8170</v>
      </c>
      <c r="E101" s="249">
        <f>C101</f>
        <v>8170</v>
      </c>
      <c r="F101" s="249"/>
      <c r="G101" s="240"/>
      <c r="H101" s="240"/>
      <c r="I101" s="249">
        <f>C101</f>
        <v>8170</v>
      </c>
      <c r="J101" s="249">
        <f>C101</f>
        <v>8170</v>
      </c>
      <c r="K101" s="13"/>
      <c r="L101" s="13"/>
      <c r="M101" s="321" t="s">
        <v>618</v>
      </c>
      <c r="N101" s="240"/>
      <c r="O101" s="240"/>
    </row>
    <row r="102" spans="1:15" hidden="1" outlineLevel="1" x14ac:dyDescent="0.2">
      <c r="A102" s="246"/>
      <c r="B102" s="238"/>
      <c r="C102" s="367"/>
      <c r="D102" s="367"/>
      <c r="E102" s="367"/>
      <c r="F102" s="367"/>
      <c r="G102" s="240"/>
      <c r="H102" s="240"/>
      <c r="I102" s="367"/>
      <c r="J102" s="367"/>
      <c r="K102" s="240"/>
      <c r="L102" s="240"/>
      <c r="M102" s="368"/>
      <c r="N102" s="240"/>
      <c r="O102" s="240"/>
    </row>
    <row r="103" spans="1:15" hidden="1" outlineLevel="1" x14ac:dyDescent="0.2">
      <c r="A103" s="241" t="s">
        <v>567</v>
      </c>
      <c r="B103" s="238" t="s">
        <v>569</v>
      </c>
      <c r="C103" s="242"/>
      <c r="D103" s="242"/>
      <c r="E103" s="242"/>
      <c r="F103" s="242"/>
      <c r="G103" s="242"/>
      <c r="H103" s="240"/>
      <c r="I103" s="242">
        <v>7.7999999999999996E-3</v>
      </c>
      <c r="J103" s="242">
        <v>7.7999999999999996E-3</v>
      </c>
      <c r="K103" s="242"/>
      <c r="L103" s="240"/>
      <c r="M103" s="242"/>
      <c r="N103" s="242"/>
      <c r="O103" s="242"/>
    </row>
    <row r="104" spans="1:15" hidden="1" outlineLevel="1" x14ac:dyDescent="0.2">
      <c r="A104" s="240"/>
      <c r="B104" s="238"/>
      <c r="C104" s="240"/>
      <c r="D104" s="240"/>
      <c r="E104" s="240"/>
      <c r="F104" s="240"/>
      <c r="G104" s="240"/>
      <c r="H104" s="240"/>
      <c r="I104" s="240"/>
      <c r="J104" s="240"/>
      <c r="K104" s="240"/>
      <c r="L104" s="240"/>
      <c r="M104" s="240"/>
      <c r="N104" s="240"/>
      <c r="O104" s="240"/>
    </row>
    <row r="105" spans="1:15" hidden="1" outlineLevel="1" x14ac:dyDescent="0.2">
      <c r="A105" s="240"/>
      <c r="B105" s="238"/>
      <c r="C105" s="314" t="s">
        <v>621</v>
      </c>
      <c r="D105" s="240"/>
      <c r="E105" s="240"/>
      <c r="F105" s="240"/>
      <c r="G105" s="240"/>
      <c r="H105" s="240"/>
      <c r="I105" s="240"/>
      <c r="J105" s="240"/>
      <c r="K105" s="240"/>
      <c r="L105" s="240"/>
      <c r="M105" s="240"/>
      <c r="N105" s="240"/>
      <c r="O105" s="240"/>
    </row>
    <row r="106" spans="1:15" hidden="1" outlineLevel="1" x14ac:dyDescent="0.2">
      <c r="A106" s="240"/>
      <c r="B106" s="238"/>
      <c r="C106" s="306" t="s">
        <v>620</v>
      </c>
      <c r="D106" s="240"/>
      <c r="E106" s="240"/>
      <c r="F106" s="240"/>
      <c r="G106" s="240"/>
      <c r="H106" s="240"/>
      <c r="I106" s="240"/>
      <c r="J106" s="240"/>
      <c r="K106" s="240"/>
      <c r="L106" s="240"/>
      <c r="M106" s="240"/>
      <c r="N106" s="240"/>
      <c r="O106" s="240"/>
    </row>
    <row r="107" spans="1:15" hidden="1" outlineLevel="1" x14ac:dyDescent="0.2">
      <c r="A107" s="240"/>
      <c r="B107" s="238"/>
      <c r="C107" s="268" t="s">
        <v>587</v>
      </c>
      <c r="D107" s="240"/>
      <c r="E107" s="240"/>
      <c r="F107" s="240"/>
      <c r="G107" s="240"/>
      <c r="H107" s="240"/>
      <c r="I107" s="240"/>
      <c r="J107" s="240"/>
      <c r="K107" s="240"/>
      <c r="L107" s="240"/>
      <c r="M107" s="240"/>
      <c r="N107" s="240"/>
      <c r="O107" s="240"/>
    </row>
    <row r="108" spans="1:15" hidden="1" outlineLevel="1" x14ac:dyDescent="0.2">
      <c r="A108" s="240"/>
      <c r="B108" s="238"/>
      <c r="C108" s="306" t="s">
        <v>656</v>
      </c>
      <c r="D108" s="240"/>
      <c r="E108" s="240"/>
      <c r="F108" s="240"/>
      <c r="G108" s="240"/>
      <c r="H108" s="240"/>
      <c r="I108" s="240"/>
      <c r="J108" s="240"/>
      <c r="K108" s="240"/>
      <c r="L108" s="240"/>
      <c r="M108" s="240"/>
      <c r="N108" s="240"/>
      <c r="O108" s="240"/>
    </row>
    <row r="109" spans="1:15" hidden="1" outlineLevel="1" x14ac:dyDescent="0.2"/>
    <row r="110" spans="1:15" hidden="1" outlineLevel="1" x14ac:dyDescent="0.2">
      <c r="A110" s="167" t="s">
        <v>658</v>
      </c>
      <c r="C110" t="s">
        <v>659</v>
      </c>
    </row>
    <row r="111" spans="1:15" hidden="1" outlineLevel="1" x14ac:dyDescent="0.2">
      <c r="C111" t="s">
        <v>580</v>
      </c>
      <c r="I111" t="s">
        <v>581</v>
      </c>
      <c r="M111" t="s">
        <v>582</v>
      </c>
    </row>
    <row r="112" spans="1:15" ht="33.75" hidden="1" outlineLevel="1" x14ac:dyDescent="0.2">
      <c r="A112" s="241"/>
      <c r="B112" s="16"/>
      <c r="C112" s="304" t="s">
        <v>563</v>
      </c>
      <c r="D112" s="304" t="s">
        <v>562</v>
      </c>
      <c r="E112" s="305" t="s">
        <v>331</v>
      </c>
      <c r="F112" s="305" t="s">
        <v>334</v>
      </c>
      <c r="G112" s="305" t="s">
        <v>249</v>
      </c>
      <c r="H112" s="306"/>
      <c r="I112" s="304" t="s">
        <v>563</v>
      </c>
      <c r="J112" s="304" t="s">
        <v>562</v>
      </c>
      <c r="K112" s="304" t="s">
        <v>613</v>
      </c>
      <c r="L112" s="306"/>
      <c r="M112" s="304" t="s">
        <v>730</v>
      </c>
      <c r="N112" s="304" t="s">
        <v>612</v>
      </c>
      <c r="O112" s="304" t="s">
        <v>729</v>
      </c>
    </row>
    <row r="113" spans="1:15" hidden="1" outlineLevel="1" x14ac:dyDescent="0.2">
      <c r="A113" s="300" t="s">
        <v>604</v>
      </c>
      <c r="B113" s="241"/>
      <c r="C113" s="241"/>
      <c r="D113" s="416">
        <v>0.89385000000000003</v>
      </c>
      <c r="E113" s="241"/>
      <c r="F113" s="241"/>
      <c r="G113" s="241"/>
      <c r="H113" s="241"/>
      <c r="I113" s="241"/>
      <c r="J113" s="416">
        <f>D113</f>
        <v>0.89385000000000003</v>
      </c>
      <c r="K113" s="241"/>
      <c r="L113" s="241"/>
      <c r="M113" s="241"/>
      <c r="N113" s="241"/>
      <c r="O113" s="241"/>
    </row>
    <row r="114" spans="1:15" hidden="1" outlineLevel="1" x14ac:dyDescent="0.2">
      <c r="A114" s="300" t="s">
        <v>664</v>
      </c>
      <c r="B114" s="241"/>
      <c r="C114" s="241"/>
      <c r="D114" s="301">
        <v>0.83003099999999996</v>
      </c>
      <c r="E114" s="241"/>
      <c r="F114" s="241"/>
      <c r="G114" s="241"/>
      <c r="H114" s="241"/>
      <c r="I114" s="241"/>
      <c r="J114" s="301">
        <f>D114</f>
        <v>0.83003099999999996</v>
      </c>
      <c r="K114" s="241"/>
      <c r="L114" s="241"/>
      <c r="M114" s="241"/>
      <c r="N114" s="241"/>
      <c r="O114" s="241"/>
    </row>
    <row r="115" spans="1:15" hidden="1" outlineLevel="1" x14ac:dyDescent="0.2">
      <c r="A115" s="241"/>
      <c r="B115" s="237"/>
      <c r="C115" s="241"/>
      <c r="D115" s="241"/>
      <c r="E115" s="241"/>
      <c r="F115" s="241"/>
      <c r="G115" s="241"/>
      <c r="H115" s="241"/>
      <c r="I115" s="241"/>
      <c r="J115" s="241"/>
      <c r="K115" s="241"/>
      <c r="L115" s="241"/>
      <c r="M115" s="241"/>
      <c r="N115" s="241"/>
      <c r="O115" s="241"/>
    </row>
    <row r="116" spans="1:15" hidden="1" outlineLevel="1" x14ac:dyDescent="0.2">
      <c r="A116" s="241" t="s">
        <v>564</v>
      </c>
      <c r="B116" s="238" t="s">
        <v>510</v>
      </c>
      <c r="C116" s="242">
        <v>0.1225</v>
      </c>
      <c r="D116" s="242">
        <v>0.23749999999999999</v>
      </c>
      <c r="E116" s="242">
        <v>0.1225</v>
      </c>
      <c r="F116" s="242"/>
      <c r="G116" s="242" t="s">
        <v>531</v>
      </c>
      <c r="H116" s="240"/>
      <c r="I116" s="242">
        <v>0.1225</v>
      </c>
      <c r="J116" s="242">
        <v>0.23749999999999999</v>
      </c>
      <c r="K116" s="242"/>
      <c r="L116" s="240"/>
      <c r="M116" s="242"/>
      <c r="N116" s="242"/>
      <c r="O116" s="242"/>
    </row>
    <row r="117" spans="1:15" hidden="1" outlineLevel="1" x14ac:dyDescent="0.2">
      <c r="A117" s="300" t="s">
        <v>660</v>
      </c>
      <c r="B117" s="238" t="s">
        <v>511</v>
      </c>
      <c r="C117" s="242">
        <v>1.4500000000000001E-2</v>
      </c>
      <c r="D117" s="242">
        <v>1.4500000000000001E-2</v>
      </c>
      <c r="E117" s="242">
        <v>1.4500000000000001E-2</v>
      </c>
      <c r="F117" s="242"/>
      <c r="G117" s="242">
        <v>1.4500000000000001E-2</v>
      </c>
      <c r="H117" s="240"/>
      <c r="I117" s="242">
        <v>1.4500000000000001E-2</v>
      </c>
      <c r="J117" s="242">
        <v>1.4500000000000001E-2</v>
      </c>
      <c r="K117" s="242">
        <v>1.4500000000000001E-2</v>
      </c>
      <c r="L117" s="240"/>
      <c r="M117" s="242"/>
      <c r="N117" s="242">
        <f>C117</f>
        <v>1.4500000000000001E-2</v>
      </c>
      <c r="O117" s="242"/>
    </row>
    <row r="118" spans="1:15" hidden="1" outlineLevel="1" x14ac:dyDescent="0.2">
      <c r="A118" s="300" t="s">
        <v>662</v>
      </c>
      <c r="B118" s="238" t="s">
        <v>512</v>
      </c>
      <c r="C118" s="242">
        <v>8.0000000000000002E-3</v>
      </c>
      <c r="D118" s="242">
        <v>8.0000000000000002E-3</v>
      </c>
      <c r="E118" s="242">
        <v>8.0000000000000002E-3</v>
      </c>
      <c r="F118" s="242"/>
      <c r="G118" s="242">
        <v>8.0000000000000002E-3</v>
      </c>
      <c r="H118" s="240"/>
      <c r="I118" s="242">
        <v>8.0000000000000002E-3</v>
      </c>
      <c r="J118" s="242">
        <v>8.0000000000000002E-3</v>
      </c>
      <c r="K118" s="242">
        <v>8.0000000000000002E-3</v>
      </c>
      <c r="L118" s="240"/>
      <c r="M118" s="242"/>
      <c r="N118" s="242">
        <f>C118</f>
        <v>8.0000000000000002E-3</v>
      </c>
      <c r="O118" s="242"/>
    </row>
    <row r="119" spans="1:15" hidden="1" outlineLevel="1" x14ac:dyDescent="0.2">
      <c r="A119" s="300" t="s">
        <v>661</v>
      </c>
      <c r="B119" s="238" t="s">
        <v>513</v>
      </c>
      <c r="C119" s="444">
        <v>2.1340000000000001E-2</v>
      </c>
      <c r="D119" s="444">
        <f>C119</f>
        <v>2.1340000000000001E-2</v>
      </c>
      <c r="E119" s="444"/>
      <c r="F119" s="444"/>
      <c r="G119" s="444"/>
      <c r="H119" s="445"/>
      <c r="I119" s="444">
        <f>C119</f>
        <v>2.1340000000000001E-2</v>
      </c>
      <c r="J119" s="444">
        <f>C119</f>
        <v>2.1340000000000001E-2</v>
      </c>
      <c r="K119" s="242"/>
      <c r="L119" s="240"/>
      <c r="M119" s="242"/>
      <c r="N119" s="242"/>
      <c r="O119" s="242"/>
    </row>
    <row r="120" spans="1:15" hidden="1" outlineLevel="1" x14ac:dyDescent="0.2">
      <c r="A120" s="241" t="s">
        <v>584</v>
      </c>
      <c r="B120" s="238" t="s">
        <v>530</v>
      </c>
      <c r="C120" s="247"/>
      <c r="D120" s="247"/>
      <c r="E120" s="247"/>
      <c r="F120" s="247"/>
      <c r="G120" s="315" t="s">
        <v>616</v>
      </c>
      <c r="H120" s="240"/>
      <c r="I120" s="247"/>
      <c r="J120" s="247"/>
      <c r="K120" s="247"/>
      <c r="L120" s="240"/>
      <c r="M120" s="247"/>
      <c r="N120" s="315" t="s">
        <v>616</v>
      </c>
      <c r="O120" s="315"/>
    </row>
    <row r="121" spans="1:15" hidden="1" outlineLevel="1" x14ac:dyDescent="0.2">
      <c r="A121" s="245" t="s">
        <v>568</v>
      </c>
      <c r="B121" s="238"/>
      <c r="C121" s="243">
        <f>SUM(C116:C120)</f>
        <v>0.16634000000000002</v>
      </c>
      <c r="D121" s="243">
        <f>SUM(D116:D120)</f>
        <v>0.28134000000000003</v>
      </c>
      <c r="E121" s="244">
        <f>SUM(E116:E120)</f>
        <v>0.14500000000000002</v>
      </c>
      <c r="F121" s="244">
        <f>SUM(F116:F120)</f>
        <v>0</v>
      </c>
      <c r="G121" s="244">
        <f>SUM(G116:G120)</f>
        <v>2.2499999999999999E-2</v>
      </c>
      <c r="H121" s="240"/>
      <c r="I121" s="244">
        <f>SUM(I116:I120)</f>
        <v>0.16634000000000002</v>
      </c>
      <c r="J121" s="244">
        <f>SUM(J116:J120)</f>
        <v>0.28134000000000003</v>
      </c>
      <c r="K121" s="244">
        <f>SUM(K116:K120)</f>
        <v>2.2499999999999999E-2</v>
      </c>
      <c r="L121" s="240"/>
      <c r="M121" s="244">
        <f>SUM(M116:M120)</f>
        <v>0</v>
      </c>
      <c r="N121" s="244">
        <f>SUM(N116:N120)</f>
        <v>2.2499999999999999E-2</v>
      </c>
      <c r="O121" s="244">
        <f>SUM(O116:O120)</f>
        <v>0</v>
      </c>
    </row>
    <row r="122" spans="1:15" hidden="1" outlineLevel="1" x14ac:dyDescent="0.2">
      <c r="A122" s="241" t="s">
        <v>585</v>
      </c>
      <c r="B122" s="238" t="s">
        <v>514</v>
      </c>
      <c r="C122" s="243">
        <v>1.4999999999999999E-2</v>
      </c>
      <c r="D122" s="243">
        <v>1.4999999999999999E-2</v>
      </c>
      <c r="E122" s="243">
        <v>1.4999999999999999E-2</v>
      </c>
      <c r="F122" s="243"/>
      <c r="G122" s="243">
        <v>1.4999999999999999E-2</v>
      </c>
      <c r="H122" s="240"/>
      <c r="I122" s="243">
        <v>1.4999999999999999E-2</v>
      </c>
      <c r="J122" s="243">
        <v>1.4999999999999999E-2</v>
      </c>
      <c r="K122" s="243">
        <v>1.4999999999999999E-2</v>
      </c>
      <c r="L122" s="240"/>
      <c r="M122" s="243">
        <v>1.4999999999999999E-2</v>
      </c>
      <c r="N122" s="244">
        <f>C122</f>
        <v>1.4999999999999999E-2</v>
      </c>
      <c r="O122" s="243">
        <v>1.4999999999999999E-2</v>
      </c>
    </row>
    <row r="123" spans="1:15" hidden="1" outlineLevel="1" x14ac:dyDescent="0.2">
      <c r="A123" s="245" t="s">
        <v>541</v>
      </c>
      <c r="B123" s="238"/>
      <c r="C123" s="248">
        <f>SUM(C121:C122)</f>
        <v>0.18134</v>
      </c>
      <c r="D123" s="248">
        <f>SUM(D121:D122)</f>
        <v>0.29634000000000005</v>
      </c>
      <c r="E123" s="248">
        <f>SUM(E121:E122)</f>
        <v>0.16000000000000003</v>
      </c>
      <c r="F123" s="248">
        <f>SUM(F121:F122)</f>
        <v>0</v>
      </c>
      <c r="G123" s="248">
        <f>SUM(G121:G122)</f>
        <v>3.7499999999999999E-2</v>
      </c>
      <c r="H123" s="240"/>
      <c r="I123" s="248">
        <f>SUM(I121:I122)</f>
        <v>0.18134</v>
      </c>
      <c r="J123" s="248">
        <f>SUM(J121:J122)</f>
        <v>0.29634000000000005</v>
      </c>
      <c r="K123" s="248">
        <f>SUM(K121:K122)</f>
        <v>3.7499999999999999E-2</v>
      </c>
      <c r="L123" s="240"/>
      <c r="M123" s="248">
        <f>SUM(M121:M122)</f>
        <v>1.4999999999999999E-2</v>
      </c>
      <c r="N123" s="248">
        <f>SUM(N121:N122)</f>
        <v>3.7499999999999999E-2</v>
      </c>
      <c r="O123" s="248">
        <f>SUM(O121:O122)</f>
        <v>1.4999999999999999E-2</v>
      </c>
    </row>
    <row r="124" spans="1:15" hidden="1" outlineLevel="1" x14ac:dyDescent="0.2">
      <c r="A124" s="245"/>
      <c r="B124" s="238"/>
      <c r="C124" s="243"/>
      <c r="D124" s="243"/>
      <c r="E124" s="243"/>
      <c r="F124" s="243"/>
      <c r="G124" s="243"/>
      <c r="H124" s="240"/>
      <c r="I124" s="243"/>
      <c r="J124" s="243"/>
      <c r="K124" s="243"/>
      <c r="L124" s="240"/>
      <c r="M124" s="243"/>
      <c r="N124" s="243"/>
      <c r="O124" s="243"/>
    </row>
    <row r="125" spans="1:15" hidden="1" outlineLevel="1" x14ac:dyDescent="0.2">
      <c r="A125" s="366" t="s">
        <v>663</v>
      </c>
      <c r="B125" s="238"/>
      <c r="C125" s="243">
        <f>C117+C118+C119</f>
        <v>4.3840000000000004E-2</v>
      </c>
      <c r="D125" s="243">
        <f>D117+D118+D119</f>
        <v>4.3840000000000004E-2</v>
      </c>
      <c r="E125" s="243"/>
      <c r="F125" s="243"/>
      <c r="G125" s="243"/>
      <c r="H125" s="240"/>
      <c r="I125" s="243">
        <f>I117+I118+I119</f>
        <v>4.3840000000000004E-2</v>
      </c>
      <c r="J125" s="243">
        <f>J117+J118+J119</f>
        <v>4.3840000000000004E-2</v>
      </c>
      <c r="K125" s="243"/>
      <c r="L125" s="240"/>
      <c r="M125" s="243"/>
      <c r="N125" s="243"/>
      <c r="O125" s="243"/>
    </row>
    <row r="126" spans="1:15" hidden="1" outlineLevel="1" x14ac:dyDescent="0.2">
      <c r="A126" s="245"/>
      <c r="B126" s="238"/>
      <c r="C126" s="243"/>
      <c r="D126" s="243"/>
      <c r="E126" s="243"/>
      <c r="F126" s="243"/>
      <c r="G126" s="243"/>
      <c r="H126" s="240"/>
      <c r="I126" s="243"/>
      <c r="J126" s="243"/>
      <c r="K126" s="243"/>
      <c r="L126" s="240"/>
      <c r="M126" s="243"/>
      <c r="N126" s="243"/>
      <c r="O126" s="243"/>
    </row>
    <row r="127" spans="1:15" hidden="1" outlineLevel="1" x14ac:dyDescent="0.2">
      <c r="A127" s="246" t="s">
        <v>595</v>
      </c>
      <c r="B127" s="238" t="s">
        <v>593</v>
      </c>
      <c r="C127" s="249">
        <v>7737.72</v>
      </c>
      <c r="D127" s="249">
        <f>C127</f>
        <v>7737.72</v>
      </c>
      <c r="E127" s="249">
        <f>C127</f>
        <v>7737.72</v>
      </c>
      <c r="F127" s="249"/>
      <c r="G127" s="240"/>
      <c r="H127" s="240"/>
      <c r="I127" s="249">
        <f>C127</f>
        <v>7737.72</v>
      </c>
      <c r="J127" s="249">
        <f>C127</f>
        <v>7737.72</v>
      </c>
      <c r="K127" s="13"/>
      <c r="L127" s="13"/>
      <c r="M127" s="321" t="s">
        <v>618</v>
      </c>
      <c r="N127" s="240"/>
      <c r="O127" s="240"/>
    </row>
    <row r="128" spans="1:15" hidden="1" outlineLevel="1" x14ac:dyDescent="0.2">
      <c r="A128" s="246"/>
      <c r="B128" s="238"/>
      <c r="C128" s="238"/>
      <c r="D128" s="367"/>
      <c r="E128" s="367"/>
      <c r="F128" s="367"/>
      <c r="G128" s="240"/>
      <c r="H128" s="240"/>
      <c r="I128" s="367"/>
      <c r="J128" s="367"/>
      <c r="K128" s="240"/>
      <c r="L128" s="240"/>
      <c r="M128" s="368"/>
      <c r="N128" s="240"/>
      <c r="O128" s="240"/>
    </row>
    <row r="129" spans="1:15" hidden="1" outlineLevel="1" x14ac:dyDescent="0.2">
      <c r="A129" s="241" t="s">
        <v>567</v>
      </c>
      <c r="B129" s="238" t="s">
        <v>569</v>
      </c>
      <c r="C129" s="242"/>
      <c r="D129" s="242"/>
      <c r="E129" s="242"/>
      <c r="F129" s="242"/>
      <c r="G129" s="242"/>
      <c r="H129" s="240"/>
      <c r="I129" s="242">
        <v>7.0000000000000001E-3</v>
      </c>
      <c r="J129" s="242">
        <v>7.0000000000000001E-3</v>
      </c>
      <c r="K129" s="242"/>
      <c r="L129" s="240"/>
      <c r="M129" s="242"/>
      <c r="N129" s="242"/>
      <c r="O129" s="242"/>
    </row>
    <row r="130" spans="1:15" hidden="1" outlineLevel="1" x14ac:dyDescent="0.2"/>
    <row r="131" spans="1:15" hidden="1" outlineLevel="1" x14ac:dyDescent="0.2">
      <c r="C131" s="314" t="s">
        <v>714</v>
      </c>
    </row>
    <row r="132" spans="1:15" hidden="1" outlineLevel="1" x14ac:dyDescent="0.2">
      <c r="C132" s="306" t="s">
        <v>620</v>
      </c>
    </row>
    <row r="133" spans="1:15" hidden="1" outlineLevel="1" x14ac:dyDescent="0.2">
      <c r="C133" s="268" t="s">
        <v>587</v>
      </c>
    </row>
    <row r="134" spans="1:15" hidden="1" outlineLevel="1" x14ac:dyDescent="0.2">
      <c r="C134" s="306" t="s">
        <v>684</v>
      </c>
    </row>
    <row r="135" spans="1:15" hidden="1" outlineLevel="1" x14ac:dyDescent="0.2">
      <c r="C135" s="306" t="s">
        <v>691</v>
      </c>
    </row>
    <row r="136" spans="1:15" hidden="1" outlineLevel="1" x14ac:dyDescent="0.2">
      <c r="C136" s="306" t="s">
        <v>695</v>
      </c>
    </row>
    <row r="137" spans="1:15" hidden="1" outlineLevel="1" x14ac:dyDescent="0.2">
      <c r="C137" s="313" t="s">
        <v>722</v>
      </c>
    </row>
    <row r="138" spans="1:15" hidden="1" outlineLevel="1" x14ac:dyDescent="0.2"/>
    <row r="139" spans="1:15" hidden="1" outlineLevel="1" x14ac:dyDescent="0.2">
      <c r="A139" s="167" t="s">
        <v>692</v>
      </c>
      <c r="C139" s="167" t="s">
        <v>739</v>
      </c>
    </row>
    <row r="140" spans="1:15" hidden="1" outlineLevel="1" x14ac:dyDescent="0.2">
      <c r="C140" s="167" t="s">
        <v>732</v>
      </c>
      <c r="I140" s="167" t="s">
        <v>733</v>
      </c>
      <c r="M140" t="s">
        <v>582</v>
      </c>
    </row>
    <row r="141" spans="1:15" ht="33.75" hidden="1" outlineLevel="1" x14ac:dyDescent="0.2">
      <c r="A141" s="241"/>
      <c r="B141" s="16"/>
      <c r="C141" s="304" t="s">
        <v>563</v>
      </c>
      <c r="D141" s="304" t="s">
        <v>562</v>
      </c>
      <c r="E141" s="305" t="s">
        <v>331</v>
      </c>
      <c r="F141" s="305" t="s">
        <v>334</v>
      </c>
      <c r="G141" s="305" t="s">
        <v>249</v>
      </c>
      <c r="H141" s="306"/>
      <c r="I141" s="304" t="s">
        <v>563</v>
      </c>
      <c r="J141" s="304" t="s">
        <v>562</v>
      </c>
      <c r="K141" s="304" t="s">
        <v>613</v>
      </c>
      <c r="L141" s="306"/>
      <c r="M141" s="304" t="s">
        <v>730</v>
      </c>
      <c r="N141" s="304" t="s">
        <v>612</v>
      </c>
      <c r="O141" s="304" t="s">
        <v>729</v>
      </c>
    </row>
    <row r="142" spans="1:15" hidden="1" outlineLevel="1" x14ac:dyDescent="0.2">
      <c r="A142" s="300" t="s">
        <v>604</v>
      </c>
      <c r="B142" s="241"/>
      <c r="C142" s="241"/>
      <c r="D142" s="416">
        <v>0.89385000000000003</v>
      </c>
      <c r="E142" s="241"/>
      <c r="F142" s="241"/>
      <c r="G142" s="241"/>
      <c r="H142" s="241"/>
      <c r="I142" s="241"/>
      <c r="J142" s="416">
        <f>D142</f>
        <v>0.89385000000000003</v>
      </c>
      <c r="K142" s="241"/>
      <c r="L142" s="241"/>
      <c r="M142" s="241"/>
      <c r="N142" s="241"/>
      <c r="O142" s="241"/>
    </row>
    <row r="143" spans="1:15" hidden="1" outlineLevel="1" x14ac:dyDescent="0.2">
      <c r="A143" s="300" t="s">
        <v>664</v>
      </c>
      <c r="B143" s="241"/>
      <c r="C143" s="241"/>
      <c r="D143" s="301">
        <v>0.83003099999999996</v>
      </c>
      <c r="E143" s="241"/>
      <c r="F143" s="241"/>
      <c r="G143" s="241"/>
      <c r="H143" s="241"/>
      <c r="I143" s="241"/>
      <c r="J143" s="301">
        <f>D143</f>
        <v>0.83003099999999996</v>
      </c>
      <c r="K143" s="241"/>
      <c r="L143" s="241"/>
      <c r="M143" s="241"/>
      <c r="N143" s="241"/>
      <c r="O143" s="241"/>
    </row>
    <row r="144" spans="1:15" hidden="1" outlineLevel="1" x14ac:dyDescent="0.2">
      <c r="A144" s="241"/>
      <c r="B144" s="237"/>
      <c r="C144" s="241"/>
      <c r="D144" s="241"/>
      <c r="E144" s="241"/>
      <c r="F144" s="241"/>
      <c r="G144" s="241"/>
      <c r="H144" s="241"/>
      <c r="I144" s="241"/>
      <c r="J144" s="241"/>
      <c r="K144" s="241"/>
      <c r="L144" s="241"/>
      <c r="M144" s="241"/>
      <c r="N144" s="241"/>
      <c r="O144" s="241"/>
    </row>
    <row r="145" spans="1:15" hidden="1" outlineLevel="1" x14ac:dyDescent="0.2">
      <c r="A145" s="241" t="s">
        <v>564</v>
      </c>
      <c r="B145" s="238" t="s">
        <v>510</v>
      </c>
      <c r="C145" s="242">
        <v>0.1225</v>
      </c>
      <c r="D145" s="242">
        <v>0.23749999999999999</v>
      </c>
      <c r="E145" s="242">
        <v>0.1225</v>
      </c>
      <c r="F145" s="242"/>
      <c r="G145" s="242" t="s">
        <v>531</v>
      </c>
      <c r="H145" s="240"/>
      <c r="I145" s="242">
        <v>0.1225</v>
      </c>
      <c r="J145" s="242">
        <v>0.23749999999999999</v>
      </c>
      <c r="K145" s="242"/>
      <c r="L145" s="240"/>
      <c r="M145" s="242"/>
      <c r="N145" s="242"/>
      <c r="O145" s="242"/>
    </row>
    <row r="146" spans="1:15" hidden="1" outlineLevel="1" x14ac:dyDescent="0.2">
      <c r="A146" s="300" t="s">
        <v>660</v>
      </c>
      <c r="B146" s="238" t="s">
        <v>511</v>
      </c>
      <c r="C146" s="242">
        <v>1.4500000000000001E-2</v>
      </c>
      <c r="D146" s="242">
        <v>1.4500000000000001E-2</v>
      </c>
      <c r="E146" s="242">
        <v>1.4500000000000001E-2</v>
      </c>
      <c r="F146" s="242"/>
      <c r="G146" s="242">
        <v>1.4500000000000001E-2</v>
      </c>
      <c r="H146" s="240"/>
      <c r="I146" s="242">
        <v>1.4500000000000001E-2</v>
      </c>
      <c r="J146" s="242">
        <v>1.4500000000000001E-2</v>
      </c>
      <c r="K146" s="242">
        <v>1.4500000000000001E-2</v>
      </c>
      <c r="L146" s="240"/>
      <c r="M146" s="242"/>
      <c r="N146" s="242">
        <f>C146</f>
        <v>1.4500000000000001E-2</v>
      </c>
      <c r="O146" s="242"/>
    </row>
    <row r="147" spans="1:15" hidden="1" outlineLevel="1" x14ac:dyDescent="0.2">
      <c r="A147" s="300" t="s">
        <v>662</v>
      </c>
      <c r="B147" s="238" t="s">
        <v>512</v>
      </c>
      <c r="C147" s="242">
        <v>8.0000000000000002E-3</v>
      </c>
      <c r="D147" s="242">
        <v>8.0000000000000002E-3</v>
      </c>
      <c r="E147" s="242">
        <v>8.0000000000000002E-3</v>
      </c>
      <c r="F147" s="242"/>
      <c r="G147" s="242">
        <v>8.0000000000000002E-3</v>
      </c>
      <c r="H147" s="240"/>
      <c r="I147" s="242">
        <v>8.0000000000000002E-3</v>
      </c>
      <c r="J147" s="242">
        <v>8.0000000000000002E-3</v>
      </c>
      <c r="K147" s="242">
        <v>8.0000000000000002E-3</v>
      </c>
      <c r="L147" s="240"/>
      <c r="M147" s="242"/>
      <c r="N147" s="242">
        <f>C147</f>
        <v>8.0000000000000002E-3</v>
      </c>
      <c r="O147" s="242"/>
    </row>
    <row r="148" spans="1:15" hidden="1" outlineLevel="1" x14ac:dyDescent="0.2">
      <c r="A148" s="300" t="s">
        <v>661</v>
      </c>
      <c r="B148" s="238" t="s">
        <v>513</v>
      </c>
      <c r="C148" s="444">
        <v>2.69E-2</v>
      </c>
      <c r="D148" s="444">
        <f>C148</f>
        <v>2.69E-2</v>
      </c>
      <c r="E148" s="444"/>
      <c r="F148" s="444"/>
      <c r="G148" s="444"/>
      <c r="H148" s="445"/>
      <c r="I148" s="444">
        <f>C148</f>
        <v>2.69E-2</v>
      </c>
      <c r="J148" s="444">
        <f>C148</f>
        <v>2.69E-2</v>
      </c>
      <c r="K148" s="242"/>
      <c r="L148" s="240"/>
      <c r="M148" s="242"/>
      <c r="N148" s="242"/>
      <c r="O148" s="242"/>
    </row>
    <row r="149" spans="1:15" hidden="1" outlineLevel="1" x14ac:dyDescent="0.2">
      <c r="A149" s="241" t="s">
        <v>584</v>
      </c>
      <c r="B149" s="238" t="s">
        <v>530</v>
      </c>
      <c r="C149" s="247"/>
      <c r="D149" s="247"/>
      <c r="E149" s="247"/>
      <c r="F149" s="247"/>
      <c r="G149" s="315" t="s">
        <v>616</v>
      </c>
      <c r="H149" s="240"/>
      <c r="I149" s="247"/>
      <c r="J149" s="247"/>
      <c r="K149" s="247"/>
      <c r="L149" s="240"/>
      <c r="M149" s="247"/>
      <c r="N149" s="315" t="s">
        <v>616</v>
      </c>
      <c r="O149" s="315"/>
    </row>
    <row r="150" spans="1:15" hidden="1" outlineLevel="1" x14ac:dyDescent="0.2">
      <c r="A150" s="245" t="s">
        <v>568</v>
      </c>
      <c r="B150" s="238"/>
      <c r="C150" s="243">
        <f>SUM(C145:C149)</f>
        <v>0.17190000000000003</v>
      </c>
      <c r="D150" s="243">
        <f>SUM(D145:D149)</f>
        <v>0.28689999999999999</v>
      </c>
      <c r="E150" s="244">
        <f>SUM(E145:E149)</f>
        <v>0.14500000000000002</v>
      </c>
      <c r="F150" s="244">
        <f>SUM(F145:F149)</f>
        <v>0</v>
      </c>
      <c r="G150" s="244">
        <f>SUM(G145:G149)</f>
        <v>2.2499999999999999E-2</v>
      </c>
      <c r="H150" s="240"/>
      <c r="I150" s="244">
        <f>SUM(I145:I149)</f>
        <v>0.17190000000000003</v>
      </c>
      <c r="J150" s="244">
        <f>SUM(J145:J149)</f>
        <v>0.28689999999999999</v>
      </c>
      <c r="K150" s="244">
        <f>SUM(K145:K149)</f>
        <v>2.2499999999999999E-2</v>
      </c>
      <c r="L150" s="240"/>
      <c r="M150" s="244">
        <f>SUM(M145:M149)</f>
        <v>0</v>
      </c>
      <c r="N150" s="244">
        <f>SUM(N145:N149)</f>
        <v>2.2499999999999999E-2</v>
      </c>
      <c r="O150" s="244">
        <f>SUM(O145:O149)</f>
        <v>0</v>
      </c>
    </row>
    <row r="151" spans="1:15" hidden="1" outlineLevel="1" x14ac:dyDescent="0.2">
      <c r="A151" s="241" t="s">
        <v>585</v>
      </c>
      <c r="B151" s="238" t="s">
        <v>514</v>
      </c>
      <c r="C151" s="243">
        <v>1.4999999999999999E-2</v>
      </c>
      <c r="D151" s="243">
        <v>1.4999999999999999E-2</v>
      </c>
      <c r="E151" s="243">
        <v>1.4999999999999999E-2</v>
      </c>
      <c r="F151" s="243"/>
      <c r="G151" s="243">
        <v>1.4999999999999999E-2</v>
      </c>
      <c r="H151" s="240"/>
      <c r="I151" s="243">
        <v>1.4999999999999999E-2</v>
      </c>
      <c r="J151" s="243">
        <v>1.4999999999999999E-2</v>
      </c>
      <c r="K151" s="243">
        <v>1.4999999999999999E-2</v>
      </c>
      <c r="L151" s="240"/>
      <c r="M151" s="243">
        <v>1.4999999999999999E-2</v>
      </c>
      <c r="N151" s="244">
        <f>C151</f>
        <v>1.4999999999999999E-2</v>
      </c>
      <c r="O151" s="243">
        <v>1.4999999999999999E-2</v>
      </c>
    </row>
    <row r="152" spans="1:15" hidden="1" outlineLevel="1" x14ac:dyDescent="0.2">
      <c r="A152" s="245" t="s">
        <v>541</v>
      </c>
      <c r="B152" s="238"/>
      <c r="C152" s="248">
        <f>SUM(C150:C151)</f>
        <v>0.18690000000000001</v>
      </c>
      <c r="D152" s="248">
        <f>SUM(D150:D151)</f>
        <v>0.3019</v>
      </c>
      <c r="E152" s="248">
        <f>SUM(E150:E151)</f>
        <v>0.16000000000000003</v>
      </c>
      <c r="F152" s="248">
        <f>SUM(F150:F151)</f>
        <v>0</v>
      </c>
      <c r="G152" s="248">
        <f>SUM(G150:G151)</f>
        <v>3.7499999999999999E-2</v>
      </c>
      <c r="H152" s="240"/>
      <c r="I152" s="248">
        <f>SUM(I150:I151)</f>
        <v>0.18690000000000001</v>
      </c>
      <c r="J152" s="248">
        <f>SUM(J150:J151)</f>
        <v>0.3019</v>
      </c>
      <c r="K152" s="248">
        <f>SUM(K150:K151)</f>
        <v>3.7499999999999999E-2</v>
      </c>
      <c r="L152" s="240"/>
      <c r="M152" s="248">
        <f>SUM(M150:M151)</f>
        <v>1.4999999999999999E-2</v>
      </c>
      <c r="N152" s="248">
        <f>SUM(N150:N151)</f>
        <v>3.7499999999999999E-2</v>
      </c>
      <c r="O152" s="248">
        <f>SUM(O150:O151)</f>
        <v>1.4999999999999999E-2</v>
      </c>
    </row>
    <row r="153" spans="1:15" hidden="1" outlineLevel="1" x14ac:dyDescent="0.2">
      <c r="A153" s="245"/>
      <c r="B153" s="238"/>
      <c r="C153" s="243"/>
      <c r="D153" s="243"/>
      <c r="E153" s="243"/>
      <c r="F153" s="243"/>
      <c r="G153" s="243"/>
      <c r="H153" s="240"/>
      <c r="I153" s="243"/>
      <c r="J153" s="243"/>
      <c r="K153" s="243"/>
      <c r="L153" s="240"/>
      <c r="M153" s="243"/>
      <c r="N153" s="243"/>
      <c r="O153" s="243"/>
    </row>
    <row r="154" spans="1:15" hidden="1" outlineLevel="1" x14ac:dyDescent="0.2">
      <c r="A154" s="241" t="s">
        <v>567</v>
      </c>
      <c r="B154" s="238" t="s">
        <v>569</v>
      </c>
      <c r="C154" s="242"/>
      <c r="D154" s="242"/>
      <c r="E154" s="242"/>
      <c r="F154" s="242"/>
      <c r="G154" s="242"/>
      <c r="H154" s="240"/>
      <c r="I154" s="242">
        <v>7.0000000000000001E-3</v>
      </c>
      <c r="J154" s="242">
        <v>7.0000000000000001E-3</v>
      </c>
      <c r="K154" s="242"/>
      <c r="L154" s="240"/>
      <c r="M154" s="242"/>
      <c r="N154" s="242"/>
      <c r="O154" s="242"/>
    </row>
    <row r="155" spans="1:15" hidden="1" outlineLevel="1" x14ac:dyDescent="0.2">
      <c r="A155" s="241"/>
      <c r="B155" s="238"/>
      <c r="C155" s="242"/>
      <c r="D155" s="242"/>
      <c r="E155" s="242"/>
      <c r="F155" s="242"/>
      <c r="G155" s="242"/>
      <c r="H155" s="240"/>
      <c r="I155" s="242"/>
      <c r="J155" s="242"/>
      <c r="K155" s="242"/>
      <c r="L155" s="240"/>
      <c r="M155" s="242"/>
      <c r="N155" s="242"/>
      <c r="O155" s="242"/>
    </row>
    <row r="156" spans="1:15" hidden="1" outlineLevel="1" x14ac:dyDescent="0.2">
      <c r="A156" s="366" t="s">
        <v>663</v>
      </c>
      <c r="B156" s="238"/>
      <c r="C156" s="243">
        <f>C146+C147+C148</f>
        <v>4.9399999999999999E-2</v>
      </c>
      <c r="D156" s="243">
        <f>D146+D147+D148</f>
        <v>4.9399999999999999E-2</v>
      </c>
      <c r="E156" s="243"/>
      <c r="F156" s="243"/>
      <c r="G156" s="243"/>
      <c r="H156" s="240"/>
      <c r="I156" s="243">
        <f>I146+I147+I148</f>
        <v>4.9399999999999999E-2</v>
      </c>
      <c r="J156" s="243">
        <f>J146+J147+J148</f>
        <v>4.9399999999999999E-2</v>
      </c>
      <c r="K156" s="243"/>
      <c r="L156" s="240"/>
      <c r="M156" s="243"/>
      <c r="N156" s="243"/>
      <c r="O156" s="243"/>
    </row>
    <row r="157" spans="1:15" hidden="1" outlineLevel="1" x14ac:dyDescent="0.2">
      <c r="A157" s="245"/>
      <c r="B157" s="238"/>
      <c r="C157" s="243"/>
      <c r="D157" s="243"/>
      <c r="E157" s="243"/>
      <c r="F157" s="243"/>
      <c r="G157" s="243"/>
      <c r="H157" s="240"/>
      <c r="I157" s="243"/>
      <c r="J157" s="243"/>
      <c r="K157" s="243"/>
      <c r="L157" s="240"/>
      <c r="M157" s="243"/>
      <c r="N157" s="243"/>
      <c r="O157" s="243"/>
    </row>
    <row r="158" spans="1:15" hidden="1" outlineLevel="1" x14ac:dyDescent="0.2">
      <c r="A158" s="246" t="s">
        <v>595</v>
      </c>
      <c r="B158" s="238" t="s">
        <v>593</v>
      </c>
      <c r="C158" s="249">
        <v>8804</v>
      </c>
      <c r="D158" s="249">
        <f>C158</f>
        <v>8804</v>
      </c>
      <c r="E158" s="249">
        <f>C158</f>
        <v>8804</v>
      </c>
      <c r="F158" s="249"/>
      <c r="G158" s="240"/>
      <c r="H158" s="240"/>
      <c r="I158" s="249">
        <f>C158</f>
        <v>8804</v>
      </c>
      <c r="J158" s="249">
        <f>C158</f>
        <v>8804</v>
      </c>
      <c r="K158" s="13"/>
      <c r="L158" s="13"/>
      <c r="M158" s="321" t="s">
        <v>618</v>
      </c>
      <c r="N158" s="240"/>
      <c r="O158" s="240"/>
    </row>
    <row r="159" spans="1:15" hidden="1" outlineLevel="1" x14ac:dyDescent="0.2">
      <c r="A159" s="246"/>
      <c r="B159" s="238"/>
      <c r="C159" s="238"/>
      <c r="D159" s="367"/>
      <c r="E159" s="367"/>
      <c r="F159" s="367"/>
      <c r="G159" s="240"/>
      <c r="H159" s="240"/>
      <c r="I159" s="367"/>
      <c r="J159" s="367"/>
      <c r="K159" s="240"/>
      <c r="L159" s="240"/>
      <c r="M159" s="368"/>
      <c r="N159" s="240"/>
      <c r="O159" s="240"/>
    </row>
    <row r="160" spans="1:15" hidden="1" outlineLevel="1" x14ac:dyDescent="0.2">
      <c r="A160" s="316" t="s">
        <v>693</v>
      </c>
      <c r="B160" s="491">
        <v>-2.5000000000000001E-2</v>
      </c>
    </row>
    <row r="161" spans="1:15" hidden="1" outlineLevel="1" x14ac:dyDescent="0.2">
      <c r="A161" s="316"/>
      <c r="B161" s="525"/>
    </row>
    <row r="162" spans="1:15" hidden="1" outlineLevel="1" x14ac:dyDescent="0.2">
      <c r="C162" s="314" t="s">
        <v>713</v>
      </c>
    </row>
    <row r="163" spans="1:15" hidden="1" outlineLevel="1" x14ac:dyDescent="0.2">
      <c r="C163" s="306" t="s">
        <v>620</v>
      </c>
    </row>
    <row r="164" spans="1:15" hidden="1" outlineLevel="1" x14ac:dyDescent="0.2">
      <c r="C164" s="268" t="s">
        <v>587</v>
      </c>
    </row>
    <row r="165" spans="1:15" hidden="1" outlineLevel="1" x14ac:dyDescent="0.2">
      <c r="C165" s="306" t="s">
        <v>694</v>
      </c>
    </row>
    <row r="166" spans="1:15" hidden="1" outlineLevel="1" x14ac:dyDescent="0.2">
      <c r="C166" s="306" t="s">
        <v>717</v>
      </c>
    </row>
    <row r="167" spans="1:15" hidden="1" outlineLevel="1" x14ac:dyDescent="0.2">
      <c r="C167" s="313" t="s">
        <v>718</v>
      </c>
    </row>
    <row r="168" spans="1:15" hidden="1" outlineLevel="1" x14ac:dyDescent="0.2"/>
    <row r="169" spans="1:15" hidden="1" outlineLevel="1" x14ac:dyDescent="0.2">
      <c r="A169" s="167" t="s">
        <v>715</v>
      </c>
      <c r="C169" s="167" t="s">
        <v>779</v>
      </c>
    </row>
    <row r="170" spans="1:15" hidden="1" outlineLevel="1" x14ac:dyDescent="0.2">
      <c r="C170" s="167" t="s">
        <v>732</v>
      </c>
      <c r="I170" s="167" t="s">
        <v>733</v>
      </c>
      <c r="M170" s="167" t="s">
        <v>780</v>
      </c>
    </row>
    <row r="171" spans="1:15" ht="33.75" hidden="1" outlineLevel="1" x14ac:dyDescent="0.2">
      <c r="A171" s="241"/>
      <c r="B171" s="521" t="s">
        <v>736</v>
      </c>
      <c r="C171" s="307" t="s">
        <v>563</v>
      </c>
      <c r="D171" s="307" t="s">
        <v>562</v>
      </c>
      <c r="E171" s="308" t="s">
        <v>331</v>
      </c>
      <c r="F171" s="308" t="s">
        <v>334</v>
      </c>
      <c r="G171" s="308" t="s">
        <v>249</v>
      </c>
      <c r="H171" s="306"/>
      <c r="I171" s="307" t="s">
        <v>563</v>
      </c>
      <c r="J171" s="307" t="s">
        <v>562</v>
      </c>
      <c r="K171" s="307" t="s">
        <v>613</v>
      </c>
      <c r="L171" s="306"/>
      <c r="M171" s="304" t="s">
        <v>730</v>
      </c>
      <c r="N171" s="304" t="s">
        <v>612</v>
      </c>
      <c r="O171" s="304" t="s">
        <v>729</v>
      </c>
    </row>
    <row r="172" spans="1:15" hidden="1" outlineLevel="1" x14ac:dyDescent="0.2">
      <c r="A172" s="300" t="s">
        <v>604</v>
      </c>
      <c r="B172" s="241"/>
      <c r="C172" s="241"/>
      <c r="D172" s="416">
        <v>0.88593999999999995</v>
      </c>
      <c r="E172" s="241"/>
      <c r="F172" s="241"/>
      <c r="G172" s="241"/>
      <c r="H172" s="241"/>
      <c r="I172" s="241"/>
      <c r="J172" s="416">
        <f>D172</f>
        <v>0.88593999999999995</v>
      </c>
      <c r="K172" s="241"/>
      <c r="L172" s="241"/>
      <c r="M172" s="241"/>
      <c r="N172" s="241"/>
      <c r="O172" s="241"/>
    </row>
    <row r="173" spans="1:15" hidden="1" outlineLevel="1" x14ac:dyDescent="0.2">
      <c r="A173" s="300" t="s">
        <v>727</v>
      </c>
      <c r="B173" s="241"/>
      <c r="C173" s="241"/>
      <c r="D173" s="416">
        <f>-1+D172</f>
        <v>-0.11406000000000005</v>
      </c>
      <c r="E173" s="241"/>
      <c r="F173" s="241"/>
      <c r="G173" s="241"/>
      <c r="H173" s="241"/>
      <c r="I173" s="241"/>
      <c r="J173" s="416">
        <f>-1+J172</f>
        <v>-0.11406000000000005</v>
      </c>
      <c r="K173" s="241"/>
      <c r="L173" s="241"/>
      <c r="M173" s="241"/>
      <c r="N173" s="241"/>
      <c r="O173" s="241"/>
    </row>
    <row r="174" spans="1:15" hidden="1" outlineLevel="1" x14ac:dyDescent="0.2">
      <c r="A174" s="300" t="s">
        <v>664</v>
      </c>
      <c r="B174" s="241"/>
      <c r="C174" s="241"/>
      <c r="D174" s="301">
        <v>0.82744300000000004</v>
      </c>
      <c r="E174" s="241"/>
      <c r="F174" s="241"/>
      <c r="G174" s="241"/>
      <c r="H174" s="241"/>
      <c r="I174" s="241"/>
      <c r="J174" s="301">
        <f>D174</f>
        <v>0.82744300000000004</v>
      </c>
      <c r="K174" s="241"/>
      <c r="L174" s="241"/>
      <c r="M174" s="241"/>
      <c r="N174" s="241"/>
      <c r="O174" s="241"/>
    </row>
    <row r="175" spans="1:15" hidden="1" outlineLevel="1" x14ac:dyDescent="0.2">
      <c r="A175" s="300" t="s">
        <v>737</v>
      </c>
      <c r="B175" s="241"/>
      <c r="C175" s="241"/>
      <c r="D175" s="301">
        <f>-1+D174</f>
        <v>-0.17255699999999996</v>
      </c>
      <c r="E175" s="241"/>
      <c r="F175" s="241"/>
      <c r="G175" s="241"/>
      <c r="H175" s="241"/>
      <c r="I175" s="241"/>
      <c r="J175" s="301">
        <f>-1+J174</f>
        <v>-0.17255699999999996</v>
      </c>
      <c r="K175" s="241"/>
      <c r="L175" s="241"/>
      <c r="M175" s="241"/>
      <c r="N175" s="241"/>
      <c r="O175" s="241"/>
    </row>
    <row r="176" spans="1:15" hidden="1" outlineLevel="1" x14ac:dyDescent="0.2">
      <c r="A176" s="300" t="s">
        <v>719</v>
      </c>
      <c r="B176" s="238" t="s">
        <v>510</v>
      </c>
      <c r="C176" s="242">
        <v>0.20749999999999999</v>
      </c>
      <c r="D176" s="242">
        <v>0.40500000000000003</v>
      </c>
      <c r="E176" s="241"/>
      <c r="F176" s="241"/>
      <c r="G176" s="241"/>
      <c r="H176" s="241"/>
      <c r="I176" s="242">
        <f>C176</f>
        <v>0.20749999999999999</v>
      </c>
      <c r="J176" s="242">
        <f>D176</f>
        <v>0.40500000000000003</v>
      </c>
      <c r="K176" s="241"/>
      <c r="L176" s="241"/>
      <c r="M176" s="241"/>
      <c r="N176" s="241"/>
      <c r="O176" s="241"/>
    </row>
    <row r="177" spans="1:15" hidden="1" outlineLevel="1" x14ac:dyDescent="0.2">
      <c r="A177" s="241"/>
      <c r="B177" s="237"/>
      <c r="C177" s="241"/>
      <c r="D177" s="241"/>
      <c r="E177" s="241"/>
      <c r="F177" s="241"/>
      <c r="G177" s="241"/>
      <c r="H177" s="241"/>
      <c r="I177" s="241"/>
      <c r="J177" s="241"/>
      <c r="K177" s="241"/>
      <c r="L177" s="241"/>
      <c r="M177" s="241"/>
      <c r="N177" s="241"/>
      <c r="O177" s="241"/>
    </row>
    <row r="178" spans="1:15" hidden="1" outlineLevel="1" x14ac:dyDescent="0.2">
      <c r="A178" s="241" t="s">
        <v>564</v>
      </c>
      <c r="B178" s="238" t="s">
        <v>510</v>
      </c>
      <c r="C178" s="242">
        <v>0.13250000000000001</v>
      </c>
      <c r="D178" s="242">
        <v>0.25750000000000001</v>
      </c>
      <c r="E178" s="242">
        <f>C178</f>
        <v>0.13250000000000001</v>
      </c>
      <c r="F178" s="242">
        <v>6.2E-2</v>
      </c>
      <c r="G178" s="242" t="s">
        <v>531</v>
      </c>
      <c r="H178" s="240"/>
      <c r="I178" s="242">
        <f>C178</f>
        <v>0.13250000000000001</v>
      </c>
      <c r="J178" s="242">
        <f>D178</f>
        <v>0.25750000000000001</v>
      </c>
      <c r="K178" s="242"/>
      <c r="L178" s="240"/>
      <c r="M178" s="242"/>
      <c r="N178" s="242"/>
      <c r="O178" s="242"/>
    </row>
    <row r="179" spans="1:15" hidden="1" outlineLevel="1" x14ac:dyDescent="0.2">
      <c r="A179" s="300" t="s">
        <v>565</v>
      </c>
      <c r="B179" s="238" t="s">
        <v>511</v>
      </c>
      <c r="C179" s="242">
        <v>1.4500000000000001E-2</v>
      </c>
      <c r="D179" s="242">
        <f>C179</f>
        <v>1.4500000000000001E-2</v>
      </c>
      <c r="E179" s="242">
        <f>C179</f>
        <v>1.4500000000000001E-2</v>
      </c>
      <c r="F179" s="242">
        <f>C179</f>
        <v>1.4500000000000001E-2</v>
      </c>
      <c r="G179" s="242">
        <f>C179</f>
        <v>1.4500000000000001E-2</v>
      </c>
      <c r="H179" s="240"/>
      <c r="I179" s="242">
        <f>C179</f>
        <v>1.4500000000000001E-2</v>
      </c>
      <c r="J179" s="242">
        <f>C179</f>
        <v>1.4500000000000001E-2</v>
      </c>
      <c r="K179" s="242">
        <f>C179</f>
        <v>1.4500000000000001E-2</v>
      </c>
      <c r="L179" s="240"/>
      <c r="M179" s="242"/>
      <c r="N179" s="242">
        <f>C179</f>
        <v>1.4500000000000001E-2</v>
      </c>
      <c r="O179" s="242"/>
    </row>
    <row r="180" spans="1:15" hidden="1" outlineLevel="1" x14ac:dyDescent="0.2">
      <c r="A180" s="300" t="s">
        <v>566</v>
      </c>
      <c r="B180" s="238" t="s">
        <v>512</v>
      </c>
      <c r="C180" s="242">
        <v>2E-3</v>
      </c>
      <c r="D180" s="242">
        <f>C180</f>
        <v>2E-3</v>
      </c>
      <c r="E180" s="242">
        <f>C180</f>
        <v>2E-3</v>
      </c>
      <c r="F180" s="242">
        <f>C180</f>
        <v>2E-3</v>
      </c>
      <c r="G180" s="242">
        <f>C180</f>
        <v>2E-3</v>
      </c>
      <c r="H180" s="240"/>
      <c r="I180" s="242">
        <f>C180</f>
        <v>2E-3</v>
      </c>
      <c r="J180" s="242">
        <f>C180</f>
        <v>2E-3</v>
      </c>
      <c r="K180" s="242">
        <f>C180</f>
        <v>2E-3</v>
      </c>
      <c r="L180" s="240"/>
      <c r="M180" s="242"/>
      <c r="N180" s="242">
        <f>C180</f>
        <v>2E-3</v>
      </c>
      <c r="O180" s="242"/>
    </row>
    <row r="181" spans="1:15" hidden="1" outlineLevel="1" x14ac:dyDescent="0.2">
      <c r="A181" s="300" t="s">
        <v>742</v>
      </c>
      <c r="B181" s="238" t="s">
        <v>513</v>
      </c>
      <c r="C181" s="444">
        <v>2.4340000000000001E-2</v>
      </c>
      <c r="D181" s="444">
        <f>C181</f>
        <v>2.4340000000000001E-2</v>
      </c>
      <c r="E181" s="444"/>
      <c r="F181" s="444">
        <f>C181</f>
        <v>2.4340000000000001E-2</v>
      </c>
      <c r="G181" s="444"/>
      <c r="H181" s="445"/>
      <c r="I181" s="444">
        <f>C181</f>
        <v>2.4340000000000001E-2</v>
      </c>
      <c r="J181" s="444">
        <f>C181</f>
        <v>2.4340000000000001E-2</v>
      </c>
      <c r="K181" s="444"/>
      <c r="L181" s="240"/>
      <c r="M181" s="242"/>
      <c r="N181" s="242"/>
      <c r="O181" s="242"/>
    </row>
    <row r="182" spans="1:15" hidden="1" outlineLevel="1" x14ac:dyDescent="0.2">
      <c r="A182" s="300" t="s">
        <v>584</v>
      </c>
      <c r="B182" s="238" t="s">
        <v>530</v>
      </c>
      <c r="C182" s="247"/>
      <c r="D182" s="247"/>
      <c r="E182" s="247"/>
      <c r="F182" s="247"/>
      <c r="G182" s="247" t="s">
        <v>583</v>
      </c>
      <c r="H182" s="240"/>
      <c r="I182" s="247"/>
      <c r="J182" s="247"/>
      <c r="K182" s="247"/>
      <c r="L182" s="240"/>
      <c r="M182" s="247"/>
      <c r="N182" s="247" t="s">
        <v>583</v>
      </c>
      <c r="O182" s="247"/>
    </row>
    <row r="183" spans="1:15" hidden="1" outlineLevel="1" x14ac:dyDescent="0.2">
      <c r="A183" s="245" t="s">
        <v>568</v>
      </c>
      <c r="B183" s="238"/>
      <c r="C183" s="526">
        <f>SUM(C178:C182)</f>
        <v>0.17334000000000002</v>
      </c>
      <c r="D183" s="526">
        <f>SUM(D178:D182)</f>
        <v>0.29834000000000005</v>
      </c>
      <c r="E183" s="493">
        <f>SUM(E178:E182)</f>
        <v>0.14900000000000002</v>
      </c>
      <c r="F183" s="493">
        <f>SUM(F178:F182)</f>
        <v>0.10284</v>
      </c>
      <c r="G183" s="493">
        <f>SUM(G178:G182)</f>
        <v>1.6500000000000001E-2</v>
      </c>
      <c r="H183" s="240"/>
      <c r="I183" s="527">
        <f>SUM(I178:I182)</f>
        <v>0.17334000000000002</v>
      </c>
      <c r="J183" s="527">
        <f>SUM(J178:J182)</f>
        <v>0.29834000000000005</v>
      </c>
      <c r="K183" s="493">
        <f>SUM(K178:K182)</f>
        <v>1.6500000000000001E-2</v>
      </c>
      <c r="L183" s="240"/>
      <c r="M183" s="493">
        <f>SUM(M178:M182)</f>
        <v>0</v>
      </c>
      <c r="N183" s="493">
        <f>SUM(N178:N182)</f>
        <v>1.6500000000000001E-2</v>
      </c>
      <c r="O183" s="493">
        <f>SUM(O178:O182)</f>
        <v>0</v>
      </c>
    </row>
    <row r="184" spans="1:15" hidden="1" outlineLevel="1" x14ac:dyDescent="0.2">
      <c r="A184" s="300" t="s">
        <v>585</v>
      </c>
      <c r="B184" s="238" t="s">
        <v>514</v>
      </c>
      <c r="C184" s="519">
        <v>1.4999999999999999E-2</v>
      </c>
      <c r="D184" s="519">
        <f>C184</f>
        <v>1.4999999999999999E-2</v>
      </c>
      <c r="E184" s="519">
        <f>C184</f>
        <v>1.4999999999999999E-2</v>
      </c>
      <c r="F184" s="519">
        <f>C184</f>
        <v>1.4999999999999999E-2</v>
      </c>
      <c r="G184" s="519">
        <f>C184</f>
        <v>1.4999999999999999E-2</v>
      </c>
      <c r="H184" s="240"/>
      <c r="I184" s="519">
        <f>C184</f>
        <v>1.4999999999999999E-2</v>
      </c>
      <c r="J184" s="519">
        <f>C184</f>
        <v>1.4999999999999999E-2</v>
      </c>
      <c r="K184" s="519">
        <f>C184</f>
        <v>1.4999999999999999E-2</v>
      </c>
      <c r="L184" s="240"/>
      <c r="M184" s="519">
        <f>C184</f>
        <v>1.4999999999999999E-2</v>
      </c>
      <c r="N184" s="520">
        <v>1.4999999999999999E-2</v>
      </c>
      <c r="O184" s="519">
        <f>C184</f>
        <v>1.4999999999999999E-2</v>
      </c>
    </row>
    <row r="185" spans="1:15" hidden="1" outlineLevel="1" x14ac:dyDescent="0.2">
      <c r="A185" s="245" t="s">
        <v>541</v>
      </c>
      <c r="B185" s="238"/>
      <c r="C185" s="528">
        <f>SUM(C183:C184)</f>
        <v>0.18834000000000001</v>
      </c>
      <c r="D185" s="528">
        <f>SUM(D183:D184)</f>
        <v>0.31334000000000006</v>
      </c>
      <c r="E185" s="248">
        <f>SUM(E183:E184)</f>
        <v>0.16400000000000003</v>
      </c>
      <c r="F185" s="248">
        <f>SUM(F183:F184)</f>
        <v>0.11784</v>
      </c>
      <c r="G185" s="248">
        <f>SUM(G183:G184)</f>
        <v>3.15E-2</v>
      </c>
      <c r="H185" s="240"/>
      <c r="I185" s="528">
        <f>SUM(I183:I184)</f>
        <v>0.18834000000000001</v>
      </c>
      <c r="J185" s="528">
        <f>SUM(J183:J184)</f>
        <v>0.31334000000000006</v>
      </c>
      <c r="K185" s="248">
        <f>SUM(K183:K184)</f>
        <v>3.15E-2</v>
      </c>
      <c r="L185" s="240"/>
      <c r="M185" s="248">
        <f>SUM(M183:M184)</f>
        <v>1.4999999999999999E-2</v>
      </c>
      <c r="N185" s="248">
        <f>SUM(N183:N184)</f>
        <v>3.15E-2</v>
      </c>
      <c r="O185" s="248">
        <f>SUM(O183:O184)</f>
        <v>1.4999999999999999E-2</v>
      </c>
    </row>
    <row r="186" spans="1:15" hidden="1" outlineLevel="1" x14ac:dyDescent="0.2">
      <c r="A186" s="245"/>
      <c r="B186" s="238"/>
      <c r="C186" s="243"/>
      <c r="D186" s="243"/>
      <c r="E186" s="243"/>
      <c r="F186" s="243"/>
      <c r="G186" s="243"/>
      <c r="H186" s="240"/>
      <c r="I186" s="243"/>
      <c r="J186" s="243"/>
      <c r="K186" s="243"/>
      <c r="L186" s="240"/>
      <c r="M186" s="243"/>
      <c r="N186" s="243"/>
      <c r="O186" s="243"/>
    </row>
    <row r="187" spans="1:15" hidden="1" outlineLevel="1" x14ac:dyDescent="0.2">
      <c r="A187" s="241" t="s">
        <v>567</v>
      </c>
      <c r="B187" s="238" t="s">
        <v>569</v>
      </c>
      <c r="C187" s="242"/>
      <c r="D187" s="242"/>
      <c r="E187" s="242"/>
      <c r="F187" s="242"/>
      <c r="G187" s="242"/>
      <c r="H187" s="240"/>
      <c r="I187" s="242">
        <v>6.3E-3</v>
      </c>
      <c r="J187" s="242">
        <f>I187</f>
        <v>6.3E-3</v>
      </c>
      <c r="K187" s="243"/>
      <c r="L187" s="240"/>
      <c r="M187" s="243"/>
      <c r="N187" s="242"/>
      <c r="O187" s="242"/>
    </row>
    <row r="188" spans="1:15" hidden="1" outlineLevel="1" x14ac:dyDescent="0.2">
      <c r="A188" s="241"/>
      <c r="B188" s="238"/>
      <c r="C188" s="242"/>
      <c r="D188" s="242"/>
      <c r="E188" s="242"/>
      <c r="F188" s="242"/>
      <c r="G188" s="242"/>
      <c r="H188" s="240"/>
      <c r="I188" s="242"/>
      <c r="J188" s="242"/>
      <c r="K188" s="243"/>
      <c r="L188" s="240"/>
      <c r="M188" s="243"/>
      <c r="N188" s="243"/>
      <c r="O188" s="243"/>
    </row>
    <row r="189" spans="1:15" hidden="1" outlineLevel="1" x14ac:dyDescent="0.2">
      <c r="A189" s="366" t="s">
        <v>741</v>
      </c>
      <c r="B189" s="238"/>
      <c r="C189" s="243">
        <f>C179+C180+C181</f>
        <v>4.0840000000000001E-2</v>
      </c>
      <c r="D189" s="243">
        <f>D179+D180+D181</f>
        <v>4.0840000000000001E-2</v>
      </c>
      <c r="E189" s="243"/>
      <c r="F189" s="243"/>
      <c r="G189" s="243"/>
      <c r="H189" s="240"/>
      <c r="I189" s="243">
        <f>I179+I180+I181</f>
        <v>4.0840000000000001E-2</v>
      </c>
      <c r="J189" s="243">
        <f>J179+J180+J181</f>
        <v>4.0840000000000001E-2</v>
      </c>
      <c r="K189" s="243"/>
      <c r="L189" s="240"/>
      <c r="M189" s="243"/>
      <c r="N189" s="243"/>
      <c r="O189" s="243"/>
    </row>
    <row r="190" spans="1:15" hidden="1" outlineLevel="1" x14ac:dyDescent="0.2">
      <c r="A190" s="241"/>
      <c r="B190" s="238"/>
      <c r="C190" s="242"/>
      <c r="D190" s="242"/>
      <c r="E190" s="242"/>
      <c r="F190" s="242"/>
      <c r="G190" s="242"/>
      <c r="H190" s="240"/>
      <c r="I190" s="242"/>
      <c r="J190" s="242"/>
      <c r="K190" s="243"/>
      <c r="L190" s="240"/>
      <c r="M190" s="243"/>
      <c r="N190" s="243"/>
      <c r="O190" s="243"/>
    </row>
    <row r="191" spans="1:15" hidden="1" outlineLevel="1" x14ac:dyDescent="0.2">
      <c r="A191" s="494" t="s">
        <v>595</v>
      </c>
      <c r="B191" s="238" t="s">
        <v>593</v>
      </c>
      <c r="C191" s="249">
        <v>8260</v>
      </c>
      <c r="D191" s="249">
        <f>C191</f>
        <v>8260</v>
      </c>
      <c r="E191" s="249">
        <f>C191</f>
        <v>8260</v>
      </c>
      <c r="F191" s="249"/>
      <c r="G191" s="240"/>
      <c r="H191" s="240"/>
      <c r="I191" s="249">
        <f>C191</f>
        <v>8260</v>
      </c>
      <c r="J191" s="249">
        <f>C191</f>
        <v>8260</v>
      </c>
      <c r="K191" s="13"/>
      <c r="L191" s="13"/>
      <c r="M191" s="321" t="s">
        <v>618</v>
      </c>
      <c r="N191" s="240"/>
      <c r="O191" s="240"/>
    </row>
    <row r="192" spans="1:15" hidden="1" outlineLevel="1" x14ac:dyDescent="0.2"/>
    <row r="193" spans="1:16" hidden="1" outlineLevel="1" x14ac:dyDescent="0.2">
      <c r="A193" s="316" t="s">
        <v>721</v>
      </c>
      <c r="B193" s="491">
        <v>0</v>
      </c>
    </row>
    <row r="194" spans="1:16" hidden="1" outlineLevel="1" x14ac:dyDescent="0.2">
      <c r="C194" s="314" t="s">
        <v>720</v>
      </c>
    </row>
    <row r="195" spans="1:16" hidden="1" outlineLevel="1" x14ac:dyDescent="0.2">
      <c r="C195" s="306" t="s">
        <v>620</v>
      </c>
    </row>
    <row r="196" spans="1:16" hidden="1" outlineLevel="1" x14ac:dyDescent="0.2">
      <c r="C196" s="268" t="s">
        <v>587</v>
      </c>
    </row>
    <row r="197" spans="1:16" hidden="1" outlineLevel="1" x14ac:dyDescent="0.2">
      <c r="C197" s="306" t="s">
        <v>743</v>
      </c>
    </row>
    <row r="198" spans="1:16" hidden="1" outlineLevel="1" x14ac:dyDescent="0.2">
      <c r="C198" s="306" t="s">
        <v>744</v>
      </c>
    </row>
    <row r="199" spans="1:16" hidden="1" outlineLevel="1" x14ac:dyDescent="0.2">
      <c r="C199" s="313" t="s">
        <v>748</v>
      </c>
    </row>
    <row r="200" spans="1:16" hidden="1" outlineLevel="1" x14ac:dyDescent="0.2"/>
    <row r="201" spans="1:16" hidden="1" outlineLevel="1" x14ac:dyDescent="0.2"/>
    <row r="202" spans="1:16" hidden="1" outlineLevel="1" x14ac:dyDescent="0.2">
      <c r="A202" s="167" t="s">
        <v>740</v>
      </c>
      <c r="C202" s="1524" t="s">
        <v>751</v>
      </c>
      <c r="D202" s="1525"/>
      <c r="E202" s="1525"/>
      <c r="F202" s="1525"/>
      <c r="G202" s="1525"/>
      <c r="H202" s="1525"/>
      <c r="I202" s="1525"/>
      <c r="J202" s="1525"/>
      <c r="K202" s="1525"/>
      <c r="L202" s="1525"/>
      <c r="M202" s="1525"/>
      <c r="N202" s="1526"/>
      <c r="O202" s="1525"/>
    </row>
    <row r="203" spans="1:16" hidden="1" outlineLevel="1" x14ac:dyDescent="0.2">
      <c r="A203" s="167"/>
      <c r="C203" s="167" t="s">
        <v>732</v>
      </c>
      <c r="I203" s="167" t="s">
        <v>733</v>
      </c>
      <c r="M203" s="167" t="s">
        <v>734</v>
      </c>
    </row>
    <row r="204" spans="1:16" ht="33.75" hidden="1" outlineLevel="1" x14ac:dyDescent="0.2">
      <c r="A204" s="241"/>
      <c r="B204" s="521" t="s">
        <v>736</v>
      </c>
      <c r="C204" s="307" t="s">
        <v>563</v>
      </c>
      <c r="D204" s="307" t="s">
        <v>562</v>
      </c>
      <c r="E204" s="308" t="s">
        <v>331</v>
      </c>
      <c r="F204" s="308" t="s">
        <v>334</v>
      </c>
      <c r="G204" s="308" t="s">
        <v>249</v>
      </c>
      <c r="H204" s="306"/>
      <c r="I204" s="307" t="s">
        <v>563</v>
      </c>
      <c r="J204" s="307" t="s">
        <v>562</v>
      </c>
      <c r="K204" s="307" t="s">
        <v>613</v>
      </c>
      <c r="L204" s="306"/>
      <c r="M204" s="304" t="s">
        <v>730</v>
      </c>
      <c r="N204" s="304" t="s">
        <v>612</v>
      </c>
      <c r="O204" s="304" t="s">
        <v>729</v>
      </c>
    </row>
    <row r="205" spans="1:16" hidden="1" outlineLevel="1" x14ac:dyDescent="0.2">
      <c r="A205" s="300" t="s">
        <v>604</v>
      </c>
      <c r="B205" s="241"/>
      <c r="C205" s="241"/>
      <c r="D205" s="416">
        <v>0.88593999999999995</v>
      </c>
      <c r="E205" s="241"/>
      <c r="F205" s="241"/>
      <c r="G205" s="241"/>
      <c r="H205" s="241"/>
      <c r="I205" s="241"/>
      <c r="J205" s="416">
        <f>D205</f>
        <v>0.88593999999999995</v>
      </c>
      <c r="K205" s="241"/>
      <c r="L205" s="241"/>
      <c r="M205" s="241"/>
      <c r="N205" s="241"/>
      <c r="O205" s="241"/>
      <c r="P205" s="237"/>
    </row>
    <row r="206" spans="1:16" hidden="1" outlineLevel="1" x14ac:dyDescent="0.2">
      <c r="A206" s="300" t="s">
        <v>727</v>
      </c>
      <c r="B206" s="241"/>
      <c r="C206" s="241"/>
      <c r="D206" s="416">
        <f>-1+D205</f>
        <v>-0.11406000000000005</v>
      </c>
      <c r="E206" s="241"/>
      <c r="F206" s="241"/>
      <c r="G206" s="241"/>
      <c r="H206" s="241"/>
      <c r="I206" s="241"/>
      <c r="J206" s="416">
        <f>-1+J205</f>
        <v>-0.11406000000000005</v>
      </c>
      <c r="K206" s="241"/>
      <c r="L206" s="241"/>
      <c r="M206" s="241"/>
      <c r="N206" s="241"/>
      <c r="O206" s="241"/>
      <c r="P206" s="237"/>
    </row>
    <row r="207" spans="1:16" hidden="1" outlineLevel="1" x14ac:dyDescent="0.2">
      <c r="A207" s="300" t="s">
        <v>664</v>
      </c>
      <c r="B207" s="241"/>
      <c r="C207" s="241"/>
      <c r="D207" s="301">
        <v>0.82744300000000004</v>
      </c>
      <c r="E207" s="241"/>
      <c r="F207" s="241"/>
      <c r="G207" s="241"/>
      <c r="H207" s="241"/>
      <c r="I207" s="241"/>
      <c r="J207" s="301">
        <f>D207</f>
        <v>0.82744300000000004</v>
      </c>
      <c r="K207" s="241"/>
      <c r="L207" s="241"/>
      <c r="M207" s="241"/>
      <c r="N207" s="241"/>
      <c r="O207" s="241"/>
      <c r="P207" s="237"/>
    </row>
    <row r="208" spans="1:16" hidden="1" outlineLevel="1" x14ac:dyDescent="0.2">
      <c r="A208" s="300" t="s">
        <v>737</v>
      </c>
      <c r="B208" s="241"/>
      <c r="C208" s="241"/>
      <c r="D208" s="301">
        <f>-1+D207</f>
        <v>-0.17255699999999996</v>
      </c>
      <c r="E208" s="241"/>
      <c r="F208" s="241"/>
      <c r="G208" s="241"/>
      <c r="H208" s="241"/>
      <c r="I208" s="241"/>
      <c r="J208" s="301">
        <f>-1+J207</f>
        <v>-0.17255699999999996</v>
      </c>
      <c r="K208" s="241"/>
      <c r="L208" s="241"/>
      <c r="M208" s="241"/>
      <c r="N208" s="241"/>
      <c r="O208" s="241"/>
      <c r="P208" s="237"/>
    </row>
    <row r="209" spans="1:16" hidden="1" outlineLevel="1" x14ac:dyDescent="0.2">
      <c r="A209" s="300" t="s">
        <v>719</v>
      </c>
      <c r="B209" s="238" t="s">
        <v>510</v>
      </c>
      <c r="C209" s="242">
        <v>0.20749999999999999</v>
      </c>
      <c r="D209" s="242">
        <v>0.40500000000000003</v>
      </c>
      <c r="E209" s="241"/>
      <c r="F209" s="241"/>
      <c r="G209" s="241"/>
      <c r="H209" s="241"/>
      <c r="I209" s="242">
        <f>C209</f>
        <v>0.20749999999999999</v>
      </c>
      <c r="J209" s="242">
        <f>D209</f>
        <v>0.40500000000000003</v>
      </c>
      <c r="K209" s="241"/>
      <c r="L209" s="241"/>
      <c r="M209" s="241"/>
      <c r="N209" s="241"/>
      <c r="O209" s="241"/>
      <c r="P209" s="237"/>
    </row>
    <row r="210" spans="1:16" hidden="1" outlineLevel="1" x14ac:dyDescent="0.2">
      <c r="A210" s="241"/>
      <c r="B210" s="237"/>
      <c r="C210" s="241"/>
      <c r="D210" s="241"/>
      <c r="E210" s="241"/>
      <c r="F210" s="241"/>
      <c r="G210" s="241"/>
      <c r="H210" s="241"/>
      <c r="I210" s="241"/>
      <c r="J210" s="241"/>
      <c r="K210" s="241"/>
      <c r="L210" s="241"/>
      <c r="M210" s="241"/>
      <c r="N210" s="241"/>
      <c r="O210" s="241"/>
      <c r="P210" s="237"/>
    </row>
    <row r="211" spans="1:16" hidden="1" outlineLevel="1" x14ac:dyDescent="0.2">
      <c r="A211" s="241" t="s">
        <v>564</v>
      </c>
      <c r="B211" s="238" t="s">
        <v>510</v>
      </c>
      <c r="C211" s="242">
        <v>0.13250000000000001</v>
      </c>
      <c r="D211" s="242">
        <v>0.25750000000000001</v>
      </c>
      <c r="E211" s="242">
        <f>C211</f>
        <v>0.13250000000000001</v>
      </c>
      <c r="F211" s="242">
        <v>6.2E-2</v>
      </c>
      <c r="G211" s="242" t="s">
        <v>531</v>
      </c>
      <c r="H211" s="240"/>
      <c r="I211" s="242">
        <f>C211</f>
        <v>0.13250000000000001</v>
      </c>
      <c r="J211" s="242">
        <f>D211</f>
        <v>0.25750000000000001</v>
      </c>
      <c r="K211" s="242"/>
      <c r="L211" s="240"/>
      <c r="M211" s="242"/>
      <c r="N211" s="242"/>
      <c r="O211" s="242"/>
    </row>
    <row r="212" spans="1:16" hidden="1" outlineLevel="1" x14ac:dyDescent="0.2">
      <c r="A212" s="300" t="s">
        <v>565</v>
      </c>
      <c r="B212" s="238" t="s">
        <v>511</v>
      </c>
      <c r="C212" s="242">
        <v>1.4500000000000001E-2</v>
      </c>
      <c r="D212" s="242">
        <f>C212</f>
        <v>1.4500000000000001E-2</v>
      </c>
      <c r="E212" s="242">
        <f>C212</f>
        <v>1.4500000000000001E-2</v>
      </c>
      <c r="F212" s="242">
        <f>C212</f>
        <v>1.4500000000000001E-2</v>
      </c>
      <c r="G212" s="242">
        <f>C212</f>
        <v>1.4500000000000001E-2</v>
      </c>
      <c r="H212" s="240"/>
      <c r="I212" s="242">
        <f>C212</f>
        <v>1.4500000000000001E-2</v>
      </c>
      <c r="J212" s="242">
        <f>C212</f>
        <v>1.4500000000000001E-2</v>
      </c>
      <c r="K212" s="242">
        <f>C212</f>
        <v>1.4500000000000001E-2</v>
      </c>
      <c r="L212" s="240"/>
      <c r="M212" s="242"/>
      <c r="N212" s="242">
        <f>C212</f>
        <v>1.4500000000000001E-2</v>
      </c>
      <c r="O212" s="242"/>
    </row>
    <row r="213" spans="1:16" hidden="1" outlineLevel="1" x14ac:dyDescent="0.2">
      <c r="A213" s="300" t="s">
        <v>566</v>
      </c>
      <c r="B213" s="238" t="s">
        <v>512</v>
      </c>
      <c r="C213" s="242">
        <v>2E-3</v>
      </c>
      <c r="D213" s="242">
        <f>C213</f>
        <v>2E-3</v>
      </c>
      <c r="E213" s="242">
        <f>C213</f>
        <v>2E-3</v>
      </c>
      <c r="F213" s="242">
        <f>C213</f>
        <v>2E-3</v>
      </c>
      <c r="G213" s="242">
        <f>C213</f>
        <v>2E-3</v>
      </c>
      <c r="H213" s="240"/>
      <c r="I213" s="242">
        <f>C213</f>
        <v>2E-3</v>
      </c>
      <c r="J213" s="242">
        <f>C213</f>
        <v>2E-3</v>
      </c>
      <c r="K213" s="242">
        <f>C213</f>
        <v>2E-3</v>
      </c>
      <c r="L213" s="240"/>
      <c r="M213" s="242"/>
      <c r="N213" s="242">
        <f>C213</f>
        <v>2E-3</v>
      </c>
      <c r="O213" s="242"/>
    </row>
    <row r="214" spans="1:16" hidden="1" outlineLevel="1" x14ac:dyDescent="0.2">
      <c r="A214" s="300" t="s">
        <v>785</v>
      </c>
      <c r="B214" s="238" t="s">
        <v>513</v>
      </c>
      <c r="C214" s="242">
        <v>2.6599999999999999E-2</v>
      </c>
      <c r="D214" s="242">
        <f>C214</f>
        <v>2.6599999999999999E-2</v>
      </c>
      <c r="E214" s="242"/>
      <c r="F214" s="242">
        <f>C214</f>
        <v>2.6599999999999999E-2</v>
      </c>
      <c r="G214" s="242"/>
      <c r="H214" s="594"/>
      <c r="I214" s="242">
        <f>C214</f>
        <v>2.6599999999999999E-2</v>
      </c>
      <c r="J214" s="242">
        <f>C214</f>
        <v>2.6599999999999999E-2</v>
      </c>
      <c r="K214" s="444"/>
      <c r="L214" s="240"/>
      <c r="M214" s="242"/>
      <c r="N214" s="242"/>
      <c r="O214" s="242"/>
    </row>
    <row r="215" spans="1:16" hidden="1" outlineLevel="1" x14ac:dyDescent="0.2">
      <c r="A215" s="300" t="s">
        <v>584</v>
      </c>
      <c r="B215" s="238" t="s">
        <v>530</v>
      </c>
      <c r="C215" s="247"/>
      <c r="D215" s="247"/>
      <c r="E215" s="247"/>
      <c r="F215" s="247"/>
      <c r="G215" s="247" t="s">
        <v>583</v>
      </c>
      <c r="H215" s="240"/>
      <c r="I215" s="247"/>
      <c r="J215" s="247"/>
      <c r="K215" s="247"/>
      <c r="L215" s="240"/>
      <c r="M215" s="247"/>
      <c r="N215" s="247" t="s">
        <v>583</v>
      </c>
      <c r="O215" s="247"/>
    </row>
    <row r="216" spans="1:16" hidden="1" outlineLevel="1" x14ac:dyDescent="0.2">
      <c r="A216" s="245" t="s">
        <v>568</v>
      </c>
      <c r="B216" s="238"/>
      <c r="C216" s="595">
        <f>SUM(C211:C215)</f>
        <v>0.17560000000000003</v>
      </c>
      <c r="D216" s="595">
        <f>SUM(D211:D215)</f>
        <v>0.30060000000000003</v>
      </c>
      <c r="E216" s="493">
        <f>SUM(E211:E215)</f>
        <v>0.14900000000000002</v>
      </c>
      <c r="F216" s="493">
        <f>SUM(F211:F215)</f>
        <v>0.1051</v>
      </c>
      <c r="G216" s="493">
        <f>SUM(G211:G215)</f>
        <v>1.6500000000000001E-2</v>
      </c>
      <c r="H216" s="240"/>
      <c r="I216" s="493">
        <f>SUM(I211:I215)</f>
        <v>0.17560000000000003</v>
      </c>
      <c r="J216" s="493">
        <f>SUM(J211:J215)</f>
        <v>0.30060000000000003</v>
      </c>
      <c r="K216" s="493">
        <f>SUM(K211:K215)</f>
        <v>1.6500000000000001E-2</v>
      </c>
      <c r="L216" s="240"/>
      <c r="M216" s="493">
        <f>SUM(M211:M215)</f>
        <v>0</v>
      </c>
      <c r="N216" s="493">
        <f>SUM(N211:N215)</f>
        <v>1.6500000000000001E-2</v>
      </c>
      <c r="O216" s="493">
        <f>SUM(O211:O215)</f>
        <v>0</v>
      </c>
    </row>
    <row r="217" spans="1:16" hidden="1" outlineLevel="1" x14ac:dyDescent="0.2">
      <c r="A217" s="300" t="s">
        <v>724</v>
      </c>
      <c r="B217" s="238" t="s">
        <v>514</v>
      </c>
      <c r="C217" s="519">
        <v>1.4999999999999999E-2</v>
      </c>
      <c r="D217" s="519">
        <f>C217</f>
        <v>1.4999999999999999E-2</v>
      </c>
      <c r="E217" s="519">
        <f>C217</f>
        <v>1.4999999999999999E-2</v>
      </c>
      <c r="F217" s="519">
        <f>C217</f>
        <v>1.4999999999999999E-2</v>
      </c>
      <c r="G217" s="519">
        <f>C217</f>
        <v>1.4999999999999999E-2</v>
      </c>
      <c r="H217" s="240"/>
      <c r="I217" s="519">
        <f>C217</f>
        <v>1.4999999999999999E-2</v>
      </c>
      <c r="J217" s="519">
        <f>C217</f>
        <v>1.4999999999999999E-2</v>
      </c>
      <c r="K217" s="519">
        <f>C217</f>
        <v>1.4999999999999999E-2</v>
      </c>
      <c r="L217" s="240"/>
      <c r="M217" s="519">
        <f>C217</f>
        <v>1.4999999999999999E-2</v>
      </c>
      <c r="N217" s="520">
        <v>1.4999999999999999E-2</v>
      </c>
      <c r="O217" s="519">
        <f>C217</f>
        <v>1.4999999999999999E-2</v>
      </c>
    </row>
    <row r="218" spans="1:16" hidden="1" outlineLevel="1" x14ac:dyDescent="0.2">
      <c r="A218" s="245" t="s">
        <v>541</v>
      </c>
      <c r="B218" s="238"/>
      <c r="C218" s="248">
        <f>SUM(C216:C217)</f>
        <v>0.19060000000000005</v>
      </c>
      <c r="D218" s="248">
        <f>SUM(D216:D217)</f>
        <v>0.31560000000000005</v>
      </c>
      <c r="E218" s="248">
        <f>SUM(E216:E217)</f>
        <v>0.16400000000000003</v>
      </c>
      <c r="F218" s="248">
        <f>SUM(F216:F217)</f>
        <v>0.1201</v>
      </c>
      <c r="G218" s="248">
        <f>SUM(G216:G217)</f>
        <v>3.15E-2</v>
      </c>
      <c r="H218" s="240"/>
      <c r="I218" s="248">
        <f>SUM(I216:I217)</f>
        <v>0.19060000000000005</v>
      </c>
      <c r="J218" s="248">
        <f>SUM(J216:J217)</f>
        <v>0.31560000000000005</v>
      </c>
      <c r="K218" s="248">
        <f>SUM(K216:K217)</f>
        <v>3.15E-2</v>
      </c>
      <c r="L218" s="240"/>
      <c r="M218" s="248">
        <f>SUM(M216:M217)</f>
        <v>1.4999999999999999E-2</v>
      </c>
      <c r="N218" s="248">
        <f>SUM(N216:N217)</f>
        <v>3.15E-2</v>
      </c>
      <c r="O218" s="248">
        <f>SUM(O216:O217)</f>
        <v>1.4999999999999999E-2</v>
      </c>
    </row>
    <row r="219" spans="1:16" hidden="1" outlineLevel="1" x14ac:dyDescent="0.2">
      <c r="A219" s="241" t="s">
        <v>567</v>
      </c>
      <c r="B219" s="238" t="s">
        <v>569</v>
      </c>
      <c r="C219" s="242"/>
      <c r="D219" s="242"/>
      <c r="E219" s="242"/>
      <c r="F219" s="242"/>
      <c r="G219" s="242"/>
      <c r="H219" s="240"/>
      <c r="I219" s="242">
        <v>6.3E-3</v>
      </c>
      <c r="J219" s="242">
        <f>I219</f>
        <v>6.3E-3</v>
      </c>
      <c r="K219" s="243"/>
      <c r="L219" s="240"/>
      <c r="M219" s="243"/>
      <c r="N219" s="242"/>
      <c r="O219" s="242"/>
    </row>
    <row r="220" spans="1:16" hidden="1" outlineLevel="1" x14ac:dyDescent="0.2">
      <c r="A220" s="494" t="s">
        <v>782</v>
      </c>
      <c r="B220" s="238" t="s">
        <v>593</v>
      </c>
      <c r="C220" s="249">
        <v>8260</v>
      </c>
      <c r="D220" s="249">
        <f>C220</f>
        <v>8260</v>
      </c>
      <c r="E220" s="249">
        <f>C220</f>
        <v>8260</v>
      </c>
      <c r="F220" s="249"/>
      <c r="G220" s="240"/>
      <c r="H220" s="240"/>
      <c r="I220" s="249">
        <f>C220</f>
        <v>8260</v>
      </c>
      <c r="J220" s="249">
        <f>C220</f>
        <v>8260</v>
      </c>
      <c r="K220" s="13"/>
      <c r="L220" s="13"/>
      <c r="M220" s="529" t="s">
        <v>783</v>
      </c>
      <c r="N220" s="240"/>
      <c r="O220" s="240"/>
    </row>
    <row r="221" spans="1:16" hidden="1" outlineLevel="1" x14ac:dyDescent="0.2">
      <c r="A221" s="494"/>
      <c r="B221" s="238"/>
      <c r="C221" s="367"/>
      <c r="D221" s="367"/>
      <c r="E221" s="367"/>
      <c r="F221" s="367"/>
      <c r="G221" s="240"/>
      <c r="H221" s="240"/>
      <c r="I221" s="367"/>
      <c r="J221" s="367"/>
      <c r="K221" s="13"/>
      <c r="L221" s="13"/>
      <c r="M221" s="555"/>
      <c r="N221" s="240"/>
      <c r="O221" s="240"/>
    </row>
    <row r="222" spans="1:16" hidden="1" outlineLevel="1" x14ac:dyDescent="0.2">
      <c r="A222" s="366" t="s">
        <v>788</v>
      </c>
      <c r="B222" s="238"/>
      <c r="C222" s="243">
        <f>C212+C213+C214</f>
        <v>4.3099999999999999E-2</v>
      </c>
      <c r="D222" s="243">
        <f>D212+D213+D214</f>
        <v>4.3099999999999999E-2</v>
      </c>
      <c r="E222" s="243"/>
      <c r="F222" s="243"/>
      <c r="G222" s="243"/>
      <c r="H222" s="240"/>
      <c r="I222" s="243">
        <f>I212+I213+I214</f>
        <v>4.3099999999999999E-2</v>
      </c>
      <c r="J222" s="243">
        <f>J212+J213+J214</f>
        <v>4.3099999999999999E-2</v>
      </c>
      <c r="K222" s="243"/>
      <c r="L222" s="240"/>
      <c r="M222" s="243"/>
      <c r="N222" s="243"/>
      <c r="O222" s="243"/>
    </row>
    <row r="223" spans="1:16" hidden="1" outlineLevel="1" x14ac:dyDescent="0.2">
      <c r="A223" s="246"/>
      <c r="B223" s="238"/>
      <c r="C223" s="238"/>
      <c r="D223" s="367"/>
      <c r="E223" s="367"/>
      <c r="F223" s="367"/>
      <c r="G223" s="240"/>
      <c r="H223" s="240"/>
      <c r="I223" s="367"/>
      <c r="J223" s="367"/>
      <c r="K223" s="240"/>
      <c r="L223" s="240"/>
      <c r="M223" s="368"/>
      <c r="N223" s="240"/>
      <c r="O223" s="240"/>
    </row>
    <row r="224" spans="1:16" hidden="1" outlineLevel="1" x14ac:dyDescent="0.2">
      <c r="A224" s="316" t="s">
        <v>789</v>
      </c>
      <c r="B224" s="491">
        <v>0</v>
      </c>
      <c r="C224" s="238"/>
      <c r="D224" s="367"/>
      <c r="E224" s="367"/>
      <c r="F224" s="367"/>
      <c r="G224" s="240"/>
      <c r="H224" s="240"/>
      <c r="I224" s="367"/>
      <c r="J224" s="367"/>
      <c r="K224" s="240"/>
      <c r="L224" s="240"/>
      <c r="M224" s="368"/>
      <c r="N224" s="240"/>
      <c r="O224" s="240"/>
    </row>
    <row r="225" spans="1:16" hidden="1" outlineLevel="1" x14ac:dyDescent="0.2">
      <c r="A225" s="246"/>
      <c r="B225" s="238"/>
      <c r="C225" s="238"/>
      <c r="D225" s="367"/>
      <c r="E225" s="367"/>
      <c r="F225" s="367"/>
      <c r="G225" s="240"/>
      <c r="H225" s="240"/>
      <c r="I225" s="367"/>
      <c r="J225" s="367"/>
      <c r="K225" s="240"/>
      <c r="L225" s="240"/>
      <c r="M225" s="368"/>
      <c r="N225" s="240"/>
      <c r="O225" s="240"/>
    </row>
    <row r="226" spans="1:16" hidden="1" outlineLevel="1" x14ac:dyDescent="0.2">
      <c r="A226" s="240"/>
      <c r="B226" s="238"/>
      <c r="C226" s="314" t="s">
        <v>746</v>
      </c>
      <c r="D226" s="240"/>
      <c r="E226" s="240"/>
      <c r="F226" s="240"/>
      <c r="G226" s="240"/>
      <c r="H226" s="240"/>
      <c r="I226" s="240"/>
      <c r="J226" s="240"/>
      <c r="K226" s="240"/>
      <c r="L226" s="240"/>
      <c r="M226" s="240"/>
      <c r="N226" s="240"/>
      <c r="O226" s="240"/>
    </row>
    <row r="227" spans="1:16" hidden="1" outlineLevel="1" x14ac:dyDescent="0.2">
      <c r="A227" s="240"/>
      <c r="B227" s="238"/>
      <c r="C227" s="306" t="s">
        <v>723</v>
      </c>
      <c r="D227" s="240"/>
      <c r="E227" s="240"/>
      <c r="F227" s="240"/>
      <c r="G227" s="240"/>
      <c r="H227" s="240"/>
      <c r="I227" s="240"/>
      <c r="J227" s="240"/>
      <c r="K227" s="240"/>
      <c r="L227" s="240"/>
      <c r="M227" s="240"/>
      <c r="N227" s="240"/>
      <c r="O227" s="240"/>
    </row>
    <row r="228" spans="1:16" hidden="1" outlineLevel="1" x14ac:dyDescent="0.2">
      <c r="A228" s="240"/>
      <c r="B228" s="238"/>
      <c r="C228" s="306" t="s">
        <v>745</v>
      </c>
      <c r="D228" s="240"/>
      <c r="E228" s="240"/>
      <c r="F228" s="240"/>
      <c r="G228" s="240"/>
      <c r="H228" s="240"/>
      <c r="I228" s="240"/>
      <c r="J228" s="240"/>
      <c r="K228" s="240"/>
      <c r="L228" s="240"/>
      <c r="M228" s="240"/>
      <c r="N228" s="240"/>
      <c r="O228" s="240"/>
    </row>
    <row r="229" spans="1:16" hidden="1" outlineLevel="1" x14ac:dyDescent="0.2">
      <c r="A229" s="240"/>
      <c r="B229" s="238"/>
      <c r="C229" s="554" t="s">
        <v>731</v>
      </c>
      <c r="D229" s="240"/>
      <c r="E229" s="240"/>
      <c r="F229" s="240"/>
      <c r="G229" s="240"/>
      <c r="H229" s="240"/>
      <c r="I229" s="240"/>
      <c r="J229" s="240"/>
      <c r="K229" s="240"/>
      <c r="L229" s="240"/>
      <c r="M229" s="240"/>
      <c r="N229" s="240"/>
      <c r="O229" s="240"/>
    </row>
    <row r="230" spans="1:16" hidden="1" outlineLevel="1" x14ac:dyDescent="0.2">
      <c r="A230" s="240"/>
      <c r="B230" s="238"/>
      <c r="C230" s="554" t="s">
        <v>787</v>
      </c>
      <c r="D230" s="240"/>
      <c r="E230" s="240"/>
      <c r="F230" s="240"/>
      <c r="G230" s="240"/>
      <c r="H230" s="240"/>
      <c r="I230" s="240"/>
      <c r="J230" s="240"/>
      <c r="K230" s="240"/>
      <c r="L230" s="240"/>
      <c r="M230" s="240"/>
      <c r="N230" s="240"/>
      <c r="O230" s="240"/>
    </row>
    <row r="231" spans="1:16" hidden="1" outlineLevel="1" x14ac:dyDescent="0.2">
      <c r="A231" s="240"/>
      <c r="B231" s="238"/>
      <c r="C231" s="306" t="s">
        <v>786</v>
      </c>
      <c r="D231" s="240"/>
      <c r="E231" s="240"/>
      <c r="F231" s="240"/>
      <c r="G231" s="240"/>
      <c r="H231" s="240"/>
      <c r="I231" s="240"/>
      <c r="J231" s="240"/>
      <c r="K231" s="240"/>
      <c r="L231" s="240"/>
      <c r="M231" s="240"/>
      <c r="N231" s="240"/>
      <c r="O231" s="240"/>
    </row>
    <row r="232" spans="1:16" hidden="1" outlineLevel="1" x14ac:dyDescent="0.2">
      <c r="A232" s="240"/>
      <c r="B232" s="238"/>
      <c r="C232" s="313" t="s">
        <v>784</v>
      </c>
      <c r="D232" s="240"/>
      <c r="E232" s="240"/>
      <c r="F232" s="240"/>
      <c r="G232" s="240"/>
      <c r="H232" s="240"/>
      <c r="I232" s="240"/>
      <c r="J232" s="240"/>
      <c r="K232" s="240"/>
      <c r="L232" s="240"/>
      <c r="M232" s="240"/>
      <c r="N232" s="240"/>
      <c r="O232" s="240"/>
    </row>
    <row r="233" spans="1:16" hidden="1" outlineLevel="1" x14ac:dyDescent="0.2">
      <c r="A233" s="240"/>
      <c r="B233" s="238"/>
      <c r="C233" s="313" t="s">
        <v>747</v>
      </c>
      <c r="D233" s="240"/>
      <c r="E233" s="240"/>
      <c r="F233" s="240"/>
      <c r="G233" s="240"/>
      <c r="H233" s="240"/>
      <c r="I233" s="240"/>
      <c r="J233" s="240"/>
      <c r="K233" s="240"/>
      <c r="L233" s="240"/>
      <c r="M233" s="240"/>
      <c r="N233" s="240"/>
      <c r="O233" s="240"/>
    </row>
    <row r="234" spans="1:16" hidden="1" outlineLevel="1" x14ac:dyDescent="0.2">
      <c r="A234" s="240"/>
      <c r="B234" s="238"/>
      <c r="C234" s="240"/>
      <c r="D234" s="240"/>
      <c r="E234" s="240"/>
      <c r="F234" s="240"/>
      <c r="G234" s="240"/>
      <c r="H234" s="240"/>
      <c r="I234" s="240"/>
      <c r="J234" s="240"/>
      <c r="K234" s="240"/>
      <c r="L234" s="240"/>
      <c r="M234" s="240"/>
      <c r="N234" s="240"/>
      <c r="O234" s="240"/>
    </row>
    <row r="235" spans="1:16" hidden="1" outlineLevel="1" x14ac:dyDescent="0.2">
      <c r="A235" s="317" t="s">
        <v>772</v>
      </c>
      <c r="B235" s="239"/>
      <c r="C235" s="1524" t="s">
        <v>879</v>
      </c>
      <c r="D235" s="1525"/>
      <c r="E235" s="1525"/>
      <c r="F235" s="1525"/>
      <c r="G235" s="1525"/>
      <c r="H235" s="1525"/>
      <c r="I235" s="1525"/>
      <c r="J235" s="1525"/>
      <c r="K235" s="1525"/>
      <c r="L235" s="1525"/>
      <c r="M235" s="1525"/>
      <c r="N235" s="1526"/>
      <c r="O235" s="1525"/>
    </row>
    <row r="236" spans="1:16" hidden="1" outlineLevel="1" x14ac:dyDescent="0.2">
      <c r="A236" s="317"/>
      <c r="B236" s="238"/>
      <c r="C236" s="167" t="s">
        <v>732</v>
      </c>
      <c r="I236" s="167" t="s">
        <v>733</v>
      </c>
      <c r="M236" s="167" t="s">
        <v>734</v>
      </c>
    </row>
    <row r="237" spans="1:16" ht="33.75" hidden="1" outlineLevel="1" x14ac:dyDescent="0.2">
      <c r="A237" s="241"/>
      <c r="B237" s="521" t="s">
        <v>736</v>
      </c>
      <c r="C237" s="307" t="s">
        <v>563</v>
      </c>
      <c r="D237" s="307" t="s">
        <v>562</v>
      </c>
      <c r="E237" s="307" t="s">
        <v>331</v>
      </c>
      <c r="F237" s="308" t="s">
        <v>334</v>
      </c>
      <c r="G237" s="307" t="s">
        <v>249</v>
      </c>
      <c r="H237" s="306"/>
      <c r="I237" s="307" t="s">
        <v>563</v>
      </c>
      <c r="J237" s="307" t="s">
        <v>562</v>
      </c>
      <c r="K237" s="307" t="s">
        <v>613</v>
      </c>
      <c r="L237" s="306"/>
      <c r="M237" s="304" t="s">
        <v>730</v>
      </c>
      <c r="N237" s="304" t="s">
        <v>612</v>
      </c>
      <c r="O237" s="304" t="s">
        <v>729</v>
      </c>
    </row>
    <row r="238" spans="1:16" hidden="1" outlineLevel="1" x14ac:dyDescent="0.2">
      <c r="A238" s="300" t="s">
        <v>604</v>
      </c>
      <c r="B238" s="241"/>
      <c r="C238" s="241"/>
      <c r="D238" s="416">
        <v>0.87719000000000003</v>
      </c>
      <c r="E238" s="241"/>
      <c r="F238" s="241"/>
      <c r="G238" s="241"/>
      <c r="H238" s="241"/>
      <c r="I238" s="241"/>
      <c r="J238" s="416">
        <f>D238</f>
        <v>0.87719000000000003</v>
      </c>
      <c r="K238" s="241"/>
      <c r="L238" s="241"/>
      <c r="M238" s="241"/>
      <c r="N238" s="241"/>
      <c r="O238" s="241"/>
      <c r="P238" s="241"/>
    </row>
    <row r="239" spans="1:16" hidden="1" outlineLevel="1" x14ac:dyDescent="0.2">
      <c r="A239" s="300" t="s">
        <v>727</v>
      </c>
      <c r="B239" s="241"/>
      <c r="C239" s="241"/>
      <c r="D239" s="416">
        <f>-1+D238</f>
        <v>-0.12280999999999997</v>
      </c>
      <c r="E239" s="241"/>
      <c r="F239" s="241"/>
      <c r="G239" s="241"/>
      <c r="H239" s="241"/>
      <c r="I239" s="241"/>
      <c r="J239" s="416">
        <f>-1+J238</f>
        <v>-0.12280999999999997</v>
      </c>
      <c r="K239" s="241"/>
      <c r="L239" s="241"/>
      <c r="M239" s="241"/>
      <c r="N239" s="241"/>
      <c r="O239" s="241"/>
      <c r="P239" s="241"/>
    </row>
    <row r="240" spans="1:16" hidden="1" outlineLevel="1" x14ac:dyDescent="0.2">
      <c r="A240" s="300" t="s">
        <v>664</v>
      </c>
      <c r="B240" s="241"/>
      <c r="C240" s="241"/>
      <c r="D240" s="301">
        <v>0.82744300000000004</v>
      </c>
      <c r="E240" s="241"/>
      <c r="F240" s="241"/>
      <c r="G240" s="241"/>
      <c r="H240" s="241"/>
      <c r="I240" s="241"/>
      <c r="J240" s="301">
        <f>D240</f>
        <v>0.82744300000000004</v>
      </c>
      <c r="K240" s="241"/>
      <c r="L240" s="241"/>
      <c r="M240" s="241"/>
      <c r="N240" s="241"/>
      <c r="O240" s="241"/>
      <c r="P240" s="241"/>
    </row>
    <row r="241" spans="1:22" hidden="1" outlineLevel="1" x14ac:dyDescent="0.2">
      <c r="A241" s="300" t="s">
        <v>737</v>
      </c>
      <c r="B241" s="241"/>
      <c r="C241" s="241"/>
      <c r="D241" s="301">
        <f>-1+D240</f>
        <v>-0.17255699999999996</v>
      </c>
      <c r="E241" s="241"/>
      <c r="F241" s="241"/>
      <c r="G241" s="241"/>
      <c r="H241" s="241"/>
      <c r="I241" s="241"/>
      <c r="J241" s="301">
        <f>-1+J240</f>
        <v>-0.17255699999999996</v>
      </c>
      <c r="K241" s="241"/>
      <c r="L241" s="241"/>
      <c r="M241" s="241"/>
      <c r="N241" s="241"/>
      <c r="O241" s="241"/>
      <c r="P241" s="241"/>
    </row>
    <row r="242" spans="1:22" hidden="1" outlineLevel="1" x14ac:dyDescent="0.2">
      <c r="A242" s="300" t="s">
        <v>719</v>
      </c>
      <c r="B242" s="238" t="s">
        <v>510</v>
      </c>
      <c r="C242" s="242">
        <v>0.20749999999999999</v>
      </c>
      <c r="D242" s="242">
        <v>0.40500000000000003</v>
      </c>
      <c r="E242" s="242"/>
      <c r="F242" s="242"/>
      <c r="G242" s="242"/>
      <c r="H242" s="240"/>
      <c r="I242" s="242">
        <f>C242</f>
        <v>0.20749999999999999</v>
      </c>
      <c r="J242" s="242">
        <f>D242</f>
        <v>0.40500000000000003</v>
      </c>
      <c r="K242" s="242"/>
      <c r="L242" s="240"/>
      <c r="M242" s="242"/>
      <c r="N242" s="242"/>
      <c r="O242" s="242"/>
      <c r="P242" s="241"/>
    </row>
    <row r="243" spans="1:22" hidden="1" outlineLevel="1" x14ac:dyDescent="0.2">
      <c r="A243" s="241"/>
      <c r="B243" s="241"/>
      <c r="C243" s="241"/>
      <c r="D243" s="241"/>
      <c r="E243" s="241"/>
      <c r="F243" s="241"/>
      <c r="G243" s="241"/>
      <c r="H243" s="241"/>
      <c r="I243" s="241"/>
      <c r="J243" s="241"/>
      <c r="K243" s="241"/>
      <c r="L243" s="241"/>
      <c r="M243" s="241"/>
      <c r="N243" s="241"/>
      <c r="O243" s="241"/>
      <c r="P243" s="241"/>
    </row>
    <row r="244" spans="1:22" hidden="1" outlineLevel="1" x14ac:dyDescent="0.2">
      <c r="A244" s="241" t="s">
        <v>564</v>
      </c>
      <c r="B244" s="238" t="s">
        <v>510</v>
      </c>
      <c r="C244" s="242">
        <v>0.14499999999999999</v>
      </c>
      <c r="D244" s="242">
        <v>0.28000000000000003</v>
      </c>
      <c r="E244" s="242">
        <f>C244</f>
        <v>0.14499999999999999</v>
      </c>
      <c r="F244" s="242">
        <v>6.2E-2</v>
      </c>
      <c r="G244" s="242" t="s">
        <v>531</v>
      </c>
      <c r="H244" s="240"/>
      <c r="I244" s="242">
        <f>C244</f>
        <v>0.14499999999999999</v>
      </c>
      <c r="J244" s="242">
        <f>D244</f>
        <v>0.28000000000000003</v>
      </c>
      <c r="K244" s="242"/>
      <c r="L244" s="240"/>
      <c r="M244" s="242"/>
      <c r="N244" s="242"/>
      <c r="O244" s="242"/>
    </row>
    <row r="245" spans="1:22" hidden="1" outlineLevel="1" x14ac:dyDescent="0.2">
      <c r="A245" s="241" t="s">
        <v>565</v>
      </c>
      <c r="B245" s="238" t="s">
        <v>511</v>
      </c>
      <c r="C245" s="242">
        <v>1.4500000000000001E-2</v>
      </c>
      <c r="D245" s="242">
        <f>C245</f>
        <v>1.4500000000000001E-2</v>
      </c>
      <c r="E245" s="242">
        <f>C245</f>
        <v>1.4500000000000001E-2</v>
      </c>
      <c r="F245" s="242">
        <f>C245</f>
        <v>1.4500000000000001E-2</v>
      </c>
      <c r="G245" s="242">
        <f>C245</f>
        <v>1.4500000000000001E-2</v>
      </c>
      <c r="H245" s="240"/>
      <c r="I245" s="242">
        <f>C245</f>
        <v>1.4500000000000001E-2</v>
      </c>
      <c r="J245" s="242">
        <f>C245</f>
        <v>1.4500000000000001E-2</v>
      </c>
      <c r="K245" s="242">
        <f>C245</f>
        <v>1.4500000000000001E-2</v>
      </c>
      <c r="L245" s="240"/>
      <c r="M245" s="242"/>
      <c r="N245" s="242">
        <f>C245</f>
        <v>1.4500000000000001E-2</v>
      </c>
      <c r="O245" s="242"/>
    </row>
    <row r="246" spans="1:22" hidden="1" outlineLevel="1" x14ac:dyDescent="0.2">
      <c r="A246" s="300" t="s">
        <v>566</v>
      </c>
      <c r="B246" s="238" t="s">
        <v>512</v>
      </c>
      <c r="C246" s="242">
        <v>2E-3</v>
      </c>
      <c r="D246" s="242">
        <f>C246</f>
        <v>2E-3</v>
      </c>
      <c r="E246" s="242">
        <f>C246</f>
        <v>2E-3</v>
      </c>
      <c r="F246" s="242">
        <f>C246</f>
        <v>2E-3</v>
      </c>
      <c r="G246" s="242">
        <f>C246</f>
        <v>2E-3</v>
      </c>
      <c r="H246" s="240"/>
      <c r="I246" s="242">
        <f>C246</f>
        <v>2E-3</v>
      </c>
      <c r="J246" s="242">
        <f>C246</f>
        <v>2E-3</v>
      </c>
      <c r="K246" s="242">
        <f>C246</f>
        <v>2E-3</v>
      </c>
      <c r="L246" s="240"/>
      <c r="M246" s="242"/>
      <c r="N246" s="242">
        <f>C246</f>
        <v>2E-3</v>
      </c>
      <c r="O246" s="242"/>
    </row>
    <row r="247" spans="1:22" hidden="1" outlineLevel="1" x14ac:dyDescent="0.2">
      <c r="A247" s="241" t="s">
        <v>340</v>
      </c>
      <c r="B247" s="238" t="s">
        <v>513</v>
      </c>
      <c r="C247" s="242">
        <v>2.1299999999999999E-2</v>
      </c>
      <c r="D247" s="242">
        <f>C247</f>
        <v>2.1299999999999999E-2</v>
      </c>
      <c r="E247" s="242"/>
      <c r="F247" s="242">
        <f>C247</f>
        <v>2.1299999999999999E-2</v>
      </c>
      <c r="G247" s="242"/>
      <c r="H247" s="594"/>
      <c r="I247" s="242">
        <f>C247</f>
        <v>2.1299999999999999E-2</v>
      </c>
      <c r="J247" s="242">
        <f>C247</f>
        <v>2.1299999999999999E-2</v>
      </c>
      <c r="K247" s="444"/>
      <c r="L247" s="240"/>
      <c r="M247" s="242"/>
      <c r="N247" s="242"/>
      <c r="O247" s="242"/>
    </row>
    <row r="248" spans="1:22" hidden="1" outlineLevel="1" x14ac:dyDescent="0.2">
      <c r="A248" s="300" t="s">
        <v>842</v>
      </c>
      <c r="B248" s="238" t="s">
        <v>530</v>
      </c>
      <c r="C248" s="247"/>
      <c r="D248" s="247"/>
      <c r="E248" s="247"/>
      <c r="F248" s="247"/>
      <c r="G248" s="247" t="s">
        <v>583</v>
      </c>
      <c r="H248" s="240"/>
      <c r="I248" s="247"/>
      <c r="J248" s="247"/>
      <c r="K248" s="247"/>
      <c r="L248" s="240"/>
      <c r="M248" s="247"/>
      <c r="N248" s="247" t="s">
        <v>583</v>
      </c>
      <c r="O248" s="247"/>
    </row>
    <row r="249" spans="1:22" hidden="1" outlineLevel="1" x14ac:dyDescent="0.2">
      <c r="A249" s="245" t="s">
        <v>568</v>
      </c>
      <c r="B249" s="238"/>
      <c r="C249" s="595">
        <f>SUM(C244:C248)</f>
        <v>0.18280000000000002</v>
      </c>
      <c r="D249" s="595">
        <f>SUM(D244:D248)</f>
        <v>0.31780000000000003</v>
      </c>
      <c r="E249" s="493">
        <f>SUM(E244:E248)</f>
        <v>0.1615</v>
      </c>
      <c r="F249" s="493">
        <f>SUM(F244:F248)</f>
        <v>9.98E-2</v>
      </c>
      <c r="G249" s="493">
        <f>SUM(G244:G248)</f>
        <v>1.6500000000000001E-2</v>
      </c>
      <c r="H249" s="240"/>
      <c r="I249" s="595">
        <f>SUM(I244:I248)</f>
        <v>0.18280000000000002</v>
      </c>
      <c r="J249" s="595">
        <f>SUM(J244:J248)</f>
        <v>0.31780000000000003</v>
      </c>
      <c r="K249" s="493">
        <f>SUM(K244:K248)</f>
        <v>1.6500000000000001E-2</v>
      </c>
      <c r="L249" s="240"/>
      <c r="M249" s="493">
        <f>SUM(M244:M248)</f>
        <v>0</v>
      </c>
      <c r="N249" s="493">
        <f>SUM(N244:N248)</f>
        <v>1.6500000000000001E-2</v>
      </c>
      <c r="O249" s="493">
        <f>SUM(O244:O248)</f>
        <v>0</v>
      </c>
    </row>
    <row r="250" spans="1:22" hidden="1" outlineLevel="1" x14ac:dyDescent="0.2">
      <c r="A250" s="300" t="s">
        <v>724</v>
      </c>
      <c r="B250" s="238" t="s">
        <v>514</v>
      </c>
      <c r="C250" s="243">
        <v>1.4999999999999999E-2</v>
      </c>
      <c r="D250" s="519">
        <f>C250</f>
        <v>1.4999999999999999E-2</v>
      </c>
      <c r="E250" s="519">
        <f>C250</f>
        <v>1.4999999999999999E-2</v>
      </c>
      <c r="F250" s="519">
        <f>C250</f>
        <v>1.4999999999999999E-2</v>
      </c>
      <c r="G250" s="519">
        <f>C250</f>
        <v>1.4999999999999999E-2</v>
      </c>
      <c r="H250" s="240"/>
      <c r="I250" s="519">
        <f>C250</f>
        <v>1.4999999999999999E-2</v>
      </c>
      <c r="J250" s="519">
        <f>C250</f>
        <v>1.4999999999999999E-2</v>
      </c>
      <c r="K250" s="519">
        <f>C250</f>
        <v>1.4999999999999999E-2</v>
      </c>
      <c r="L250" s="240"/>
      <c r="M250" s="519">
        <f>C250</f>
        <v>1.4999999999999999E-2</v>
      </c>
      <c r="N250" s="520">
        <v>1.4999999999999999E-2</v>
      </c>
      <c r="O250" s="519">
        <f>C250</f>
        <v>1.4999999999999999E-2</v>
      </c>
      <c r="T250" s="328"/>
      <c r="U250" s="328"/>
      <c r="V250" s="328"/>
    </row>
    <row r="251" spans="1:22" hidden="1" outlineLevel="1" x14ac:dyDescent="0.2">
      <c r="A251" s="245" t="s">
        <v>541</v>
      </c>
      <c r="B251" s="238"/>
      <c r="C251" s="248">
        <f>SUM(C249:C250)</f>
        <v>0.19780000000000003</v>
      </c>
      <c r="D251" s="248">
        <f>SUM(D249:D250)</f>
        <v>0.33280000000000004</v>
      </c>
      <c r="E251" s="248">
        <f>SUM(E249:E250)</f>
        <v>0.17649999999999999</v>
      </c>
      <c r="F251" s="248">
        <f>SUM(F249:F250)</f>
        <v>0.1148</v>
      </c>
      <c r="G251" s="248">
        <f>SUM(G249:G250)</f>
        <v>3.15E-2</v>
      </c>
      <c r="H251" s="240"/>
      <c r="I251" s="248">
        <f>SUM(I249:I250)</f>
        <v>0.19780000000000003</v>
      </c>
      <c r="J251" s="248">
        <f>SUM(J249:J250)</f>
        <v>0.33280000000000004</v>
      </c>
      <c r="K251" s="248">
        <f>SUM(K249:K250)</f>
        <v>3.15E-2</v>
      </c>
      <c r="L251" s="240"/>
      <c r="M251" s="248">
        <f>SUM(M249:M250)</f>
        <v>1.4999999999999999E-2</v>
      </c>
      <c r="N251" s="248">
        <f>SUM(N249:N250)</f>
        <v>3.15E-2</v>
      </c>
      <c r="O251" s="248">
        <f>SUM(O249:O250)</f>
        <v>1.4999999999999999E-2</v>
      </c>
      <c r="T251" s="328"/>
      <c r="U251" s="328"/>
      <c r="V251" s="328"/>
    </row>
    <row r="252" spans="1:22" hidden="1" outlineLevel="1" x14ac:dyDescent="0.2">
      <c r="A252" s="241" t="s">
        <v>567</v>
      </c>
      <c r="B252" s="238" t="s">
        <v>569</v>
      </c>
      <c r="C252" s="242"/>
      <c r="D252" s="242"/>
      <c r="E252" s="242"/>
      <c r="F252" s="242"/>
      <c r="G252" s="242"/>
      <c r="H252" s="240"/>
      <c r="I252" s="242">
        <v>6.1000000000000004E-3</v>
      </c>
      <c r="J252" s="242">
        <f>I252</f>
        <v>6.1000000000000004E-3</v>
      </c>
      <c r="K252" s="243"/>
      <c r="L252" s="240"/>
      <c r="M252" s="243"/>
      <c r="N252" s="243"/>
      <c r="O252" s="243"/>
      <c r="T252" s="328"/>
      <c r="U252" s="328"/>
      <c r="V252" s="328"/>
    </row>
    <row r="253" spans="1:22" hidden="1" outlineLevel="1" x14ac:dyDescent="0.2">
      <c r="A253" s="494" t="s">
        <v>782</v>
      </c>
      <c r="B253" s="238" t="s">
        <v>593</v>
      </c>
      <c r="C253" s="249">
        <f>701.73*12</f>
        <v>8420.76</v>
      </c>
      <c r="D253" s="249">
        <f>C253</f>
        <v>8420.76</v>
      </c>
      <c r="E253" s="249">
        <f>C253</f>
        <v>8420.76</v>
      </c>
      <c r="F253" s="249"/>
      <c r="G253" s="240"/>
      <c r="H253" s="240"/>
      <c r="I253" s="249">
        <f>C253</f>
        <v>8420.76</v>
      </c>
      <c r="J253" s="249">
        <f>C253</f>
        <v>8420.76</v>
      </c>
      <c r="K253" s="13"/>
      <c r="L253" s="13"/>
      <c r="M253" s="588" t="s">
        <v>845</v>
      </c>
      <c r="N253" s="13"/>
      <c r="O253" s="13"/>
      <c r="T253" s="328"/>
      <c r="U253" s="328"/>
      <c r="V253" s="328"/>
    </row>
    <row r="254" spans="1:22" hidden="1" outlineLevel="1" x14ac:dyDescent="0.2">
      <c r="A254" s="241"/>
      <c r="B254" s="238"/>
      <c r="C254" s="242"/>
      <c r="D254" s="242"/>
      <c r="E254" s="242"/>
      <c r="F254" s="242"/>
      <c r="G254" s="242"/>
      <c r="H254" s="240"/>
      <c r="I254" s="242"/>
      <c r="J254" s="242"/>
      <c r="K254" s="243"/>
      <c r="L254" s="240"/>
      <c r="M254" s="243"/>
      <c r="N254" s="243"/>
      <c r="O254" s="243"/>
      <c r="T254" s="328"/>
      <c r="U254" s="328"/>
      <c r="V254" s="328"/>
    </row>
    <row r="255" spans="1:22" hidden="1" outlineLevel="1" x14ac:dyDescent="0.2">
      <c r="A255" s="366" t="s">
        <v>741</v>
      </c>
      <c r="B255" s="238"/>
      <c r="C255" s="243">
        <v>0</v>
      </c>
      <c r="D255" s="243">
        <v>0</v>
      </c>
      <c r="E255" s="243"/>
      <c r="F255" s="243"/>
      <c r="G255" s="243"/>
      <c r="H255" s="240"/>
      <c r="I255" s="243">
        <f>C255</f>
        <v>0</v>
      </c>
      <c r="J255" s="243">
        <f>C255</f>
        <v>0</v>
      </c>
      <c r="K255" s="243"/>
      <c r="L255" s="240"/>
      <c r="M255" s="243"/>
      <c r="N255" s="243"/>
      <c r="O255" s="243"/>
      <c r="T255" s="328"/>
      <c r="U255" s="328"/>
      <c r="V255" s="328"/>
    </row>
    <row r="256" spans="1:22" hidden="1" outlineLevel="1" x14ac:dyDescent="0.2">
      <c r="A256" s="366" t="s">
        <v>843</v>
      </c>
      <c r="B256" s="238"/>
      <c r="C256" s="13"/>
      <c r="D256" s="13"/>
      <c r="E256" s="13"/>
      <c r="F256" s="13"/>
      <c r="G256" s="13"/>
      <c r="H256" s="13"/>
      <c r="I256" s="13"/>
      <c r="J256" s="13"/>
      <c r="K256" s="13"/>
      <c r="L256" s="13"/>
      <c r="M256" s="13"/>
      <c r="N256" s="13"/>
      <c r="O256" s="13"/>
      <c r="T256" s="328"/>
      <c r="U256" s="328"/>
      <c r="V256" s="328"/>
    </row>
    <row r="257" spans="1:22" hidden="1" outlineLevel="1" x14ac:dyDescent="0.2">
      <c r="A257" s="13"/>
      <c r="B257" s="238"/>
      <c r="C257" s="585" t="s">
        <v>781</v>
      </c>
      <c r="D257" s="13"/>
      <c r="E257" s="13"/>
      <c r="F257" s="13"/>
      <c r="G257" s="13"/>
      <c r="H257" s="13"/>
      <c r="I257" s="13"/>
      <c r="J257" s="13"/>
      <c r="K257" s="13"/>
      <c r="L257" s="13"/>
      <c r="M257" s="13"/>
      <c r="N257" s="13"/>
      <c r="O257" s="13"/>
      <c r="T257" s="328"/>
      <c r="U257" s="328"/>
      <c r="V257" s="328"/>
    </row>
    <row r="258" spans="1:22" hidden="1" outlineLevel="1" x14ac:dyDescent="0.2">
      <c r="A258" s="13"/>
      <c r="B258" s="238"/>
      <c r="C258" s="306" t="s">
        <v>723</v>
      </c>
      <c r="D258" s="13"/>
      <c r="E258" s="13"/>
      <c r="F258" s="13"/>
      <c r="G258" s="13"/>
      <c r="H258" s="13"/>
      <c r="I258" s="13"/>
      <c r="J258" s="13"/>
      <c r="K258" s="13"/>
      <c r="L258" s="13"/>
      <c r="M258" s="13"/>
      <c r="N258" s="13"/>
      <c r="O258" s="13"/>
      <c r="T258" s="328"/>
      <c r="U258" s="328"/>
      <c r="V258" s="328"/>
    </row>
    <row r="259" spans="1:22" hidden="1" outlineLevel="1" x14ac:dyDescent="0.2">
      <c r="C259" s="306" t="s">
        <v>881</v>
      </c>
      <c r="T259" s="328"/>
      <c r="U259" s="328"/>
      <c r="V259" s="328"/>
    </row>
    <row r="260" spans="1:22" hidden="1" outlineLevel="1" x14ac:dyDescent="0.2">
      <c r="C260" s="554" t="s">
        <v>846</v>
      </c>
      <c r="T260" s="328"/>
      <c r="U260" s="328"/>
      <c r="V260" s="328"/>
    </row>
    <row r="261" spans="1:22" hidden="1" outlineLevel="1" x14ac:dyDescent="0.2">
      <c r="C261" s="554" t="s">
        <v>847</v>
      </c>
      <c r="T261" s="328"/>
      <c r="U261" s="328"/>
      <c r="V261" s="328"/>
    </row>
    <row r="262" spans="1:22" hidden="1" outlineLevel="1" x14ac:dyDescent="0.2">
      <c r="A262" s="13"/>
      <c r="B262" s="238"/>
      <c r="C262" s="584" t="s">
        <v>844</v>
      </c>
      <c r="D262" s="13"/>
      <c r="E262" s="13"/>
      <c r="F262" s="13"/>
      <c r="G262" s="13"/>
      <c r="H262" s="13"/>
      <c r="I262" s="13"/>
      <c r="J262" s="13"/>
      <c r="K262" s="13"/>
      <c r="L262" s="13"/>
      <c r="M262" s="13"/>
      <c r="N262" s="13"/>
      <c r="O262" s="13"/>
      <c r="T262" s="328"/>
      <c r="U262" s="328"/>
      <c r="V262" s="328"/>
    </row>
    <row r="263" spans="1:22" hidden="1" outlineLevel="1" x14ac:dyDescent="0.2">
      <c r="A263" s="13"/>
      <c r="B263" s="238"/>
      <c r="C263" s="584"/>
      <c r="D263" s="13"/>
      <c r="E263" s="13"/>
      <c r="F263" s="13"/>
      <c r="G263" s="13"/>
      <c r="H263" s="13"/>
      <c r="I263" s="13"/>
      <c r="J263" s="13"/>
      <c r="K263" s="13"/>
      <c r="L263" s="13"/>
      <c r="M263" s="13"/>
      <c r="N263" s="13"/>
      <c r="O263" s="13"/>
      <c r="T263" s="328"/>
      <c r="U263" s="328"/>
      <c r="V263" s="328"/>
    </row>
    <row r="264" spans="1:22" hidden="1" outlineLevel="1" x14ac:dyDescent="0.2">
      <c r="D264" s="20"/>
      <c r="T264" s="328"/>
      <c r="U264" s="328"/>
      <c r="V264" s="328"/>
    </row>
    <row r="265" spans="1:22" hidden="1" outlineLevel="1" x14ac:dyDescent="0.2">
      <c r="A265" s="316" t="s">
        <v>721</v>
      </c>
      <c r="B265" s="524">
        <v>0</v>
      </c>
      <c r="D265" s="17"/>
      <c r="T265" s="328"/>
      <c r="U265" s="328"/>
      <c r="V265" s="328"/>
    </row>
    <row r="266" spans="1:22" hidden="1" outlineLevel="1" x14ac:dyDescent="0.2">
      <c r="C266" s="316"/>
      <c r="D266" s="17"/>
      <c r="T266" s="328"/>
      <c r="U266" s="328"/>
      <c r="V266" s="328"/>
    </row>
    <row r="267" spans="1:22" hidden="1" outlineLevel="1" x14ac:dyDescent="0.2">
      <c r="A267" s="317" t="s">
        <v>878</v>
      </c>
      <c r="B267" s="239"/>
      <c r="C267" s="1524" t="s">
        <v>880</v>
      </c>
      <c r="D267" s="1525"/>
      <c r="E267" s="1525"/>
      <c r="F267" s="1525"/>
      <c r="G267" s="1525"/>
      <c r="H267" s="1525"/>
      <c r="I267" s="1525"/>
      <c r="J267" s="1525"/>
      <c r="K267" s="1525"/>
      <c r="L267" s="1525"/>
      <c r="M267" s="1525"/>
      <c r="N267" s="1526"/>
      <c r="O267" s="1525"/>
    </row>
    <row r="268" spans="1:22" hidden="1" outlineLevel="1" x14ac:dyDescent="0.2">
      <c r="A268" s="317"/>
      <c r="B268" s="238"/>
      <c r="C268" s="167" t="s">
        <v>732</v>
      </c>
      <c r="I268" s="167" t="s">
        <v>733</v>
      </c>
      <c r="M268" s="167" t="s">
        <v>734</v>
      </c>
    </row>
    <row r="269" spans="1:22" ht="33.75" hidden="1" outlineLevel="1" x14ac:dyDescent="0.2">
      <c r="A269" s="241"/>
      <c r="B269" s="521" t="s">
        <v>736</v>
      </c>
      <c r="C269" s="307" t="s">
        <v>563</v>
      </c>
      <c r="D269" s="307" t="s">
        <v>562</v>
      </c>
      <c r="E269" s="307" t="s">
        <v>331</v>
      </c>
      <c r="F269" s="308" t="s">
        <v>334</v>
      </c>
      <c r="G269" s="307" t="s">
        <v>249</v>
      </c>
      <c r="H269" s="306"/>
      <c r="I269" s="307" t="s">
        <v>563</v>
      </c>
      <c r="J269" s="307" t="s">
        <v>562</v>
      </c>
      <c r="K269" s="307" t="s">
        <v>613</v>
      </c>
      <c r="L269" s="306"/>
      <c r="M269" s="304" t="s">
        <v>730</v>
      </c>
      <c r="N269" s="304" t="s">
        <v>612</v>
      </c>
      <c r="O269" s="304" t="s">
        <v>729</v>
      </c>
    </row>
    <row r="270" spans="1:22" hidden="1" outlineLevel="1" x14ac:dyDescent="0.2">
      <c r="A270" s="300" t="s">
        <v>604</v>
      </c>
      <c r="B270" s="241"/>
      <c r="C270" s="241"/>
      <c r="D270" s="416">
        <v>0.87719000000000003</v>
      </c>
      <c r="E270" s="241"/>
      <c r="F270" s="241"/>
      <c r="G270" s="241"/>
      <c r="H270" s="241"/>
      <c r="I270" s="241"/>
      <c r="J270" s="416">
        <v>0.87719000000000003</v>
      </c>
      <c r="K270" s="241"/>
      <c r="L270" s="241"/>
      <c r="M270" s="241"/>
      <c r="N270" s="241"/>
      <c r="O270" s="241"/>
    </row>
    <row r="271" spans="1:22" hidden="1" outlineLevel="1" x14ac:dyDescent="0.2">
      <c r="A271" s="300" t="s">
        <v>727</v>
      </c>
      <c r="B271" s="241"/>
      <c r="C271" s="241"/>
      <c r="D271" s="416">
        <v>-0.12280999999999997</v>
      </c>
      <c r="E271" s="241"/>
      <c r="F271" s="241"/>
      <c r="G271" s="241"/>
      <c r="H271" s="241"/>
      <c r="I271" s="241"/>
      <c r="J271" s="416">
        <v>-0.12280999999999997</v>
      </c>
      <c r="K271" s="241"/>
      <c r="L271" s="241"/>
      <c r="M271" s="241"/>
      <c r="N271" s="241"/>
      <c r="O271" s="241"/>
    </row>
    <row r="272" spans="1:22" hidden="1" outlineLevel="1" x14ac:dyDescent="0.2">
      <c r="A272" s="300" t="s">
        <v>664</v>
      </c>
      <c r="B272" s="241"/>
      <c r="C272" s="241"/>
      <c r="D272" s="301">
        <v>0.82744300000000004</v>
      </c>
      <c r="E272" s="241"/>
      <c r="F272" s="241"/>
      <c r="G272" s="241"/>
      <c r="H272" s="241"/>
      <c r="I272" s="241"/>
      <c r="J272" s="301">
        <v>0.82744300000000004</v>
      </c>
      <c r="K272" s="241"/>
      <c r="L272" s="241"/>
      <c r="M272" s="241"/>
      <c r="N272" s="241"/>
      <c r="O272" s="241"/>
    </row>
    <row r="273" spans="1:15" hidden="1" outlineLevel="1" x14ac:dyDescent="0.2">
      <c r="A273" s="300" t="s">
        <v>737</v>
      </c>
      <c r="B273" s="241"/>
      <c r="C273" s="241"/>
      <c r="D273" s="301">
        <v>-0.17255699999999996</v>
      </c>
      <c r="E273" s="241"/>
      <c r="F273" s="241"/>
      <c r="G273" s="241"/>
      <c r="H273" s="241"/>
      <c r="I273" s="241"/>
      <c r="J273" s="301">
        <v>-0.17255699999999996</v>
      </c>
      <c r="K273" s="241"/>
      <c r="L273" s="241"/>
      <c r="M273" s="241"/>
      <c r="N273" s="241"/>
      <c r="O273" s="241"/>
    </row>
    <row r="274" spans="1:15" hidden="1" outlineLevel="1" x14ac:dyDescent="0.2">
      <c r="A274" s="300" t="s">
        <v>719</v>
      </c>
      <c r="B274" s="238" t="s">
        <v>510</v>
      </c>
      <c r="C274" s="242">
        <v>0.20749999999999999</v>
      </c>
      <c r="D274" s="242">
        <v>0.40500000000000003</v>
      </c>
      <c r="E274" s="242"/>
      <c r="F274" s="242"/>
      <c r="G274" s="242"/>
      <c r="H274" s="240"/>
      <c r="I274" s="242">
        <v>0.20749999999999999</v>
      </c>
      <c r="J274" s="242">
        <v>0.40500000000000003</v>
      </c>
      <c r="K274" s="242"/>
      <c r="L274" s="240"/>
      <c r="M274" s="242"/>
      <c r="N274" s="242"/>
      <c r="O274" s="242"/>
    </row>
    <row r="275" spans="1:15" hidden="1" outlineLevel="1" x14ac:dyDescent="0.2">
      <c r="A275" s="241"/>
      <c r="B275" s="241"/>
      <c r="C275" s="241"/>
      <c r="D275" s="241"/>
      <c r="E275" s="241"/>
      <c r="F275" s="241"/>
      <c r="G275" s="241"/>
      <c r="H275" s="241"/>
      <c r="I275" s="241"/>
      <c r="J275" s="241"/>
      <c r="K275" s="241"/>
      <c r="L275" s="241"/>
      <c r="M275" s="241"/>
      <c r="N275" s="241"/>
      <c r="O275" s="241"/>
    </row>
    <row r="276" spans="1:15" hidden="1" outlineLevel="1" x14ac:dyDescent="0.2">
      <c r="A276" s="241" t="s">
        <v>564</v>
      </c>
      <c r="B276" s="238" t="s">
        <v>510</v>
      </c>
      <c r="C276" s="242">
        <v>0.14499999999999999</v>
      </c>
      <c r="D276" s="242">
        <v>0.28000000000000003</v>
      </c>
      <c r="E276" s="242">
        <v>0.14499999999999999</v>
      </c>
      <c r="F276" s="242">
        <v>6.2E-2</v>
      </c>
      <c r="G276" s="242" t="s">
        <v>531</v>
      </c>
      <c r="H276" s="240"/>
      <c r="I276" s="242">
        <v>0.14499999999999999</v>
      </c>
      <c r="J276" s="242">
        <v>0.28000000000000003</v>
      </c>
      <c r="K276" s="242"/>
      <c r="L276" s="240"/>
      <c r="M276" s="242"/>
      <c r="N276" s="242"/>
      <c r="O276" s="242"/>
    </row>
    <row r="277" spans="1:15" hidden="1" outlineLevel="1" x14ac:dyDescent="0.2">
      <c r="A277" s="241" t="s">
        <v>565</v>
      </c>
      <c r="B277" s="238" t="s">
        <v>511</v>
      </c>
      <c r="C277" s="242">
        <v>1.4500000000000001E-2</v>
      </c>
      <c r="D277" s="242">
        <v>1.4500000000000001E-2</v>
      </c>
      <c r="E277" s="242">
        <v>1.4500000000000001E-2</v>
      </c>
      <c r="F277" s="242">
        <v>1.4500000000000001E-2</v>
      </c>
      <c r="G277" s="242">
        <v>1.4500000000000001E-2</v>
      </c>
      <c r="H277" s="240"/>
      <c r="I277" s="242">
        <v>1.4500000000000001E-2</v>
      </c>
      <c r="J277" s="242">
        <v>1.4500000000000001E-2</v>
      </c>
      <c r="K277" s="242">
        <v>1.4500000000000001E-2</v>
      </c>
      <c r="L277" s="240"/>
      <c r="M277" s="242"/>
      <c r="N277" s="242">
        <v>1.4500000000000001E-2</v>
      </c>
      <c r="O277" s="242"/>
    </row>
    <row r="278" spans="1:15" hidden="1" outlineLevel="1" x14ac:dyDescent="0.2">
      <c r="A278" s="300" t="s">
        <v>566</v>
      </c>
      <c r="B278" s="238" t="s">
        <v>512</v>
      </c>
      <c r="C278" s="242">
        <v>2E-3</v>
      </c>
      <c r="D278" s="242">
        <v>2E-3</v>
      </c>
      <c r="E278" s="242">
        <v>2E-3</v>
      </c>
      <c r="F278" s="242">
        <v>2E-3</v>
      </c>
      <c r="G278" s="242">
        <v>2E-3</v>
      </c>
      <c r="H278" s="240"/>
      <c r="I278" s="242">
        <v>2E-3</v>
      </c>
      <c r="J278" s="242">
        <v>2E-3</v>
      </c>
      <c r="K278" s="242">
        <v>2E-3</v>
      </c>
      <c r="L278" s="240"/>
      <c r="M278" s="242"/>
      <c r="N278" s="242">
        <v>2E-3</v>
      </c>
      <c r="O278" s="242"/>
    </row>
    <row r="279" spans="1:15" hidden="1" outlineLevel="1" x14ac:dyDescent="0.2">
      <c r="A279" s="241" t="s">
        <v>340</v>
      </c>
      <c r="B279" s="238" t="s">
        <v>513</v>
      </c>
      <c r="C279" s="242">
        <v>2.3599999999999999E-2</v>
      </c>
      <c r="D279" s="242">
        <v>2.3599999999999999E-2</v>
      </c>
      <c r="E279" s="242"/>
      <c r="F279" s="242">
        <v>2.3599999999999999E-2</v>
      </c>
      <c r="G279" s="242"/>
      <c r="H279" s="594"/>
      <c r="I279" s="242">
        <v>2.3599999999999999E-2</v>
      </c>
      <c r="J279" s="242">
        <v>2.3599999999999999E-2</v>
      </c>
      <c r="K279" s="444"/>
      <c r="L279" s="240"/>
      <c r="M279" s="242"/>
      <c r="N279" s="242"/>
      <c r="O279" s="242"/>
    </row>
    <row r="280" spans="1:15" hidden="1" outlineLevel="1" x14ac:dyDescent="0.2">
      <c r="A280" s="300" t="s">
        <v>842</v>
      </c>
      <c r="B280" s="238" t="s">
        <v>530</v>
      </c>
      <c r="C280" s="247"/>
      <c r="D280" s="247"/>
      <c r="E280" s="247"/>
      <c r="F280" s="247"/>
      <c r="G280" s="247" t="s">
        <v>583</v>
      </c>
      <c r="H280" s="240"/>
      <c r="I280" s="247"/>
      <c r="J280" s="247"/>
      <c r="K280" s="247"/>
      <c r="L280" s="240"/>
      <c r="M280" s="247"/>
      <c r="N280" s="247" t="s">
        <v>583</v>
      </c>
      <c r="O280" s="247"/>
    </row>
    <row r="281" spans="1:15" hidden="1" outlineLevel="1" x14ac:dyDescent="0.2">
      <c r="A281" s="245" t="s">
        <v>568</v>
      </c>
      <c r="B281" s="238"/>
      <c r="C281" s="595">
        <v>0.18510000000000001</v>
      </c>
      <c r="D281" s="595">
        <v>0.32010000000000005</v>
      </c>
      <c r="E281" s="493">
        <v>0.1615</v>
      </c>
      <c r="F281" s="493">
        <v>0.1021</v>
      </c>
      <c r="G281" s="493">
        <v>1.6500000000000001E-2</v>
      </c>
      <c r="H281" s="240"/>
      <c r="I281" s="595">
        <v>0.18510000000000001</v>
      </c>
      <c r="J281" s="595">
        <v>0.32010000000000005</v>
      </c>
      <c r="K281" s="493">
        <v>1.6500000000000001E-2</v>
      </c>
      <c r="L281" s="240"/>
      <c r="M281" s="493">
        <v>0</v>
      </c>
      <c r="N281" s="493">
        <v>1.6500000000000001E-2</v>
      </c>
      <c r="O281" s="493">
        <v>0</v>
      </c>
    </row>
    <row r="282" spans="1:15" hidden="1" outlineLevel="1" x14ac:dyDescent="0.2">
      <c r="A282" s="300" t="s">
        <v>724</v>
      </c>
      <c r="B282" s="238" t="s">
        <v>514</v>
      </c>
      <c r="C282" s="243">
        <v>1.4999999999999999E-2</v>
      </c>
      <c r="D282" s="519">
        <v>1.4999999999999999E-2</v>
      </c>
      <c r="E282" s="519">
        <v>1.4999999999999999E-2</v>
      </c>
      <c r="F282" s="519">
        <v>1.4999999999999999E-2</v>
      </c>
      <c r="G282" s="519">
        <v>1.4999999999999999E-2</v>
      </c>
      <c r="H282" s="240"/>
      <c r="I282" s="519">
        <v>1.4999999999999999E-2</v>
      </c>
      <c r="J282" s="519">
        <v>1.4999999999999999E-2</v>
      </c>
      <c r="K282" s="519">
        <v>1.4999999999999999E-2</v>
      </c>
      <c r="L282" s="240"/>
      <c r="M282" s="519">
        <v>1.4999999999999999E-2</v>
      </c>
      <c r="N282" s="520">
        <v>1.4999999999999999E-2</v>
      </c>
      <c r="O282" s="519">
        <v>1.4999999999999999E-2</v>
      </c>
    </row>
    <row r="283" spans="1:15" hidden="1" outlineLevel="1" x14ac:dyDescent="0.2">
      <c r="A283" s="245" t="s">
        <v>541</v>
      </c>
      <c r="B283" s="238"/>
      <c r="C283" s="248">
        <v>0.2001</v>
      </c>
      <c r="D283" s="248">
        <v>0.33510000000000006</v>
      </c>
      <c r="E283" s="248">
        <v>0.17649999999999999</v>
      </c>
      <c r="F283" s="248">
        <v>0.1171</v>
      </c>
      <c r="G283" s="248">
        <v>3.15E-2</v>
      </c>
      <c r="H283" s="240"/>
      <c r="I283" s="248">
        <v>0.2001</v>
      </c>
      <c r="J283" s="248">
        <v>0.33510000000000006</v>
      </c>
      <c r="K283" s="248">
        <v>3.15E-2</v>
      </c>
      <c r="L283" s="240"/>
      <c r="M283" s="248">
        <v>1.4999999999999999E-2</v>
      </c>
      <c r="N283" s="248">
        <v>3.15E-2</v>
      </c>
      <c r="O283" s="248">
        <v>1.4999999999999999E-2</v>
      </c>
    </row>
    <row r="284" spans="1:15" hidden="1" outlineLevel="1" x14ac:dyDescent="0.2">
      <c r="A284" s="241" t="s">
        <v>567</v>
      </c>
      <c r="B284" s="238" t="s">
        <v>569</v>
      </c>
      <c r="C284" s="242"/>
      <c r="D284" s="242"/>
      <c r="E284" s="242"/>
      <c r="F284" s="242"/>
      <c r="G284" s="242"/>
      <c r="H284" s="240"/>
      <c r="I284" s="242">
        <v>6.0000000000000001E-3</v>
      </c>
      <c r="J284" s="242">
        <v>6.0000000000000001E-3</v>
      </c>
      <c r="K284" s="243"/>
      <c r="L284" s="240"/>
      <c r="M284" s="243"/>
      <c r="N284" s="243"/>
      <c r="O284" s="243"/>
    </row>
    <row r="285" spans="1:15" hidden="1" outlineLevel="1" x14ac:dyDescent="0.2">
      <c r="A285" s="494" t="s">
        <v>782</v>
      </c>
      <c r="B285" s="238" t="s">
        <v>593</v>
      </c>
      <c r="C285" s="249">
        <v>8391</v>
      </c>
      <c r="D285" s="249">
        <v>8391</v>
      </c>
      <c r="E285" s="249">
        <v>8391</v>
      </c>
      <c r="F285" s="249"/>
      <c r="G285" s="240"/>
      <c r="H285" s="240"/>
      <c r="I285" s="249">
        <v>8391</v>
      </c>
      <c r="J285" s="249">
        <v>8391</v>
      </c>
      <c r="K285" s="13"/>
      <c r="L285" s="13"/>
      <c r="M285" s="588" t="s">
        <v>845</v>
      </c>
      <c r="N285" s="13"/>
      <c r="O285" s="13"/>
    </row>
    <row r="286" spans="1:15" hidden="1" outlineLevel="1" x14ac:dyDescent="0.2">
      <c r="A286" s="241"/>
      <c r="B286" s="238"/>
      <c r="C286" s="242"/>
      <c r="D286" s="242"/>
      <c r="E286" s="242"/>
      <c r="F286" s="242"/>
      <c r="G286" s="242"/>
      <c r="H286" s="240"/>
      <c r="I286" s="242"/>
      <c r="J286" s="242"/>
      <c r="K286" s="243"/>
      <c r="L286" s="240"/>
      <c r="M286" s="243"/>
      <c r="N286" s="243"/>
      <c r="O286" s="243"/>
    </row>
    <row r="287" spans="1:15" hidden="1" outlineLevel="1" x14ac:dyDescent="0.2">
      <c r="A287" s="366" t="s">
        <v>741</v>
      </c>
      <c r="B287" s="238"/>
      <c r="C287" s="243">
        <v>0</v>
      </c>
      <c r="D287" s="243">
        <v>0</v>
      </c>
      <c r="E287" s="243"/>
      <c r="F287" s="243"/>
      <c r="G287" s="243"/>
      <c r="H287" s="240"/>
      <c r="I287" s="243">
        <v>0</v>
      </c>
      <c r="J287" s="243">
        <v>0</v>
      </c>
      <c r="K287" s="243"/>
      <c r="L287" s="240"/>
      <c r="M287" s="243"/>
      <c r="N287" s="243"/>
      <c r="O287" s="243"/>
    </row>
    <row r="288" spans="1:15" hidden="1" outlineLevel="1" x14ac:dyDescent="0.2">
      <c r="A288" s="366" t="s">
        <v>843</v>
      </c>
      <c r="B288" s="238"/>
      <c r="C288" s="13"/>
      <c r="D288" s="13"/>
      <c r="E288" s="13"/>
      <c r="F288" s="13"/>
      <c r="G288" s="13"/>
      <c r="H288" s="13"/>
      <c r="I288" s="13"/>
      <c r="J288" s="13"/>
      <c r="K288" s="13"/>
      <c r="L288" s="13"/>
      <c r="M288" s="13"/>
      <c r="N288" s="13"/>
      <c r="O288" s="13"/>
    </row>
    <row r="289" spans="1:15" hidden="1" outlineLevel="1" x14ac:dyDescent="0.2">
      <c r="A289" s="13"/>
      <c r="B289" s="238"/>
      <c r="C289" s="585" t="s">
        <v>892</v>
      </c>
      <c r="D289" s="13"/>
      <c r="E289" s="13"/>
      <c r="F289" s="13"/>
      <c r="G289" s="13"/>
      <c r="H289" s="13"/>
      <c r="I289" s="13"/>
      <c r="J289" s="13"/>
      <c r="K289" s="13"/>
      <c r="L289" s="13"/>
      <c r="M289" s="13"/>
      <c r="N289" s="13"/>
      <c r="O289" s="13"/>
    </row>
    <row r="290" spans="1:15" hidden="1" outlineLevel="1" x14ac:dyDescent="0.2">
      <c r="A290" s="13"/>
      <c r="B290" s="238"/>
      <c r="C290" s="306" t="s">
        <v>723</v>
      </c>
      <c r="D290" s="13"/>
      <c r="E290" s="13"/>
      <c r="F290" s="13"/>
      <c r="G290" s="13"/>
      <c r="H290" s="13"/>
      <c r="I290" s="13"/>
      <c r="J290" s="13"/>
      <c r="K290" s="13"/>
      <c r="L290" s="13"/>
      <c r="M290" s="13"/>
      <c r="N290" s="13"/>
      <c r="O290" s="13"/>
    </row>
    <row r="291" spans="1:15" hidden="1" outlineLevel="1" x14ac:dyDescent="0.2">
      <c r="C291" s="306" t="s">
        <v>882</v>
      </c>
    </row>
    <row r="292" spans="1:15" hidden="1" outlineLevel="1" x14ac:dyDescent="0.2">
      <c r="C292" s="554" t="s">
        <v>846</v>
      </c>
    </row>
    <row r="293" spans="1:15" ht="15" hidden="1" outlineLevel="1" x14ac:dyDescent="0.2">
      <c r="C293" s="554" t="s">
        <v>899</v>
      </c>
    </row>
    <row r="294" spans="1:15" hidden="1" outlineLevel="1" x14ac:dyDescent="0.2">
      <c r="C294" s="554" t="s">
        <v>847</v>
      </c>
    </row>
    <row r="295" spans="1:15" hidden="1" outlineLevel="1" x14ac:dyDescent="0.2">
      <c r="A295" s="13"/>
      <c r="B295" s="238"/>
      <c r="C295" s="584" t="s">
        <v>844</v>
      </c>
      <c r="D295" s="13"/>
      <c r="E295" s="13"/>
      <c r="F295" s="13"/>
      <c r="G295" s="13"/>
      <c r="H295" s="13"/>
      <c r="I295" s="13"/>
      <c r="J295" s="13"/>
      <c r="K295" s="13"/>
      <c r="L295" s="13"/>
      <c r="M295" s="13"/>
      <c r="N295" s="13"/>
      <c r="O295" s="13"/>
    </row>
    <row r="296" spans="1:15" hidden="1" outlineLevel="1" x14ac:dyDescent="0.2">
      <c r="A296" s="13"/>
      <c r="B296" s="238"/>
      <c r="C296" s="584"/>
      <c r="D296" s="13"/>
      <c r="E296" s="13"/>
      <c r="F296" s="13"/>
      <c r="G296" s="13"/>
      <c r="H296" s="13"/>
      <c r="I296" s="13"/>
      <c r="J296" s="13"/>
      <c r="K296" s="13"/>
      <c r="L296" s="13"/>
      <c r="M296" s="13"/>
      <c r="N296" s="13"/>
      <c r="O296" s="13"/>
    </row>
    <row r="297" spans="1:15" hidden="1" outlineLevel="1" x14ac:dyDescent="0.2">
      <c r="A297" s="317" t="s">
        <v>905</v>
      </c>
      <c r="B297" s="239"/>
      <c r="C297" s="1524" t="s">
        <v>965</v>
      </c>
      <c r="D297" s="1525"/>
      <c r="E297" s="1525"/>
      <c r="F297" s="1525"/>
      <c r="G297" s="1525"/>
      <c r="H297" s="1525"/>
      <c r="I297" s="1525"/>
      <c r="J297" s="1525"/>
      <c r="K297" s="1525"/>
      <c r="L297" s="1525"/>
      <c r="M297" s="1525"/>
      <c r="N297" s="1526"/>
      <c r="O297" s="1525"/>
    </row>
    <row r="298" spans="1:15" hidden="1" outlineLevel="1" x14ac:dyDescent="0.2">
      <c r="A298" s="317"/>
      <c r="B298" s="238"/>
      <c r="C298" s="167" t="s">
        <v>732</v>
      </c>
      <c r="I298" s="167" t="s">
        <v>733</v>
      </c>
      <c r="M298" s="167" t="s">
        <v>734</v>
      </c>
    </row>
    <row r="299" spans="1:15" ht="33.75" hidden="1" outlineLevel="1" x14ac:dyDescent="0.2">
      <c r="A299" s="241"/>
      <c r="B299" s="521" t="s">
        <v>736</v>
      </c>
      <c r="C299" s="307" t="s">
        <v>563</v>
      </c>
      <c r="D299" s="307" t="s">
        <v>562</v>
      </c>
      <c r="E299" s="307" t="s">
        <v>331</v>
      </c>
      <c r="F299" s="308" t="s">
        <v>334</v>
      </c>
      <c r="G299" s="307" t="s">
        <v>249</v>
      </c>
      <c r="H299" s="306"/>
      <c r="I299" s="307" t="s">
        <v>563</v>
      </c>
      <c r="J299" s="307" t="s">
        <v>562</v>
      </c>
      <c r="K299" s="307" t="s">
        <v>613</v>
      </c>
      <c r="L299" s="306"/>
      <c r="M299" s="304" t="s">
        <v>730</v>
      </c>
      <c r="N299" s="304" t="s">
        <v>612</v>
      </c>
      <c r="O299" s="304" t="s">
        <v>729</v>
      </c>
    </row>
    <row r="300" spans="1:15" hidden="1" outlineLevel="1" x14ac:dyDescent="0.2">
      <c r="A300" s="300" t="s">
        <v>604</v>
      </c>
      <c r="B300" s="241"/>
      <c r="C300" s="241"/>
      <c r="D300" s="416">
        <v>0.87719000000000003</v>
      </c>
      <c r="E300" s="241"/>
      <c r="F300" s="241"/>
      <c r="G300" s="241"/>
      <c r="H300" s="241"/>
      <c r="I300" s="241"/>
      <c r="J300" s="416">
        <f>D300</f>
        <v>0.87719000000000003</v>
      </c>
      <c r="K300" s="241"/>
      <c r="L300" s="241"/>
      <c r="M300" s="241"/>
      <c r="N300" s="241"/>
      <c r="O300" s="241"/>
    </row>
    <row r="301" spans="1:15" hidden="1" outlineLevel="1" x14ac:dyDescent="0.2">
      <c r="A301" s="300" t="s">
        <v>727</v>
      </c>
      <c r="B301" s="241"/>
      <c r="C301" s="241"/>
      <c r="D301" s="416">
        <f>-1+D300</f>
        <v>-0.12280999999999997</v>
      </c>
      <c r="E301" s="241"/>
      <c r="F301" s="241"/>
      <c r="G301" s="241"/>
      <c r="H301" s="241"/>
      <c r="I301" s="241"/>
      <c r="J301" s="416">
        <f>-1+J300</f>
        <v>-0.12280999999999997</v>
      </c>
      <c r="K301" s="241"/>
      <c r="L301" s="241"/>
      <c r="M301" s="241"/>
      <c r="N301" s="241"/>
      <c r="O301" s="241"/>
    </row>
    <row r="302" spans="1:15" hidden="1" outlineLevel="1" x14ac:dyDescent="0.2">
      <c r="A302" s="300" t="s">
        <v>664</v>
      </c>
      <c r="B302" s="241"/>
      <c r="C302" s="241"/>
      <c r="D302" s="301">
        <v>0.82744300000000004</v>
      </c>
      <c r="E302" s="241"/>
      <c r="F302" s="241"/>
      <c r="G302" s="241"/>
      <c r="H302" s="241"/>
      <c r="I302" s="241"/>
      <c r="J302" s="301">
        <f>D302</f>
        <v>0.82744300000000004</v>
      </c>
      <c r="K302" s="241"/>
      <c r="L302" s="241"/>
      <c r="M302" s="241"/>
      <c r="N302" s="241"/>
      <c r="O302" s="241"/>
    </row>
    <row r="303" spans="1:15" hidden="1" outlineLevel="1" x14ac:dyDescent="0.2">
      <c r="A303" s="300" t="s">
        <v>737</v>
      </c>
      <c r="B303" s="241"/>
      <c r="C303" s="241"/>
      <c r="D303" s="301">
        <f>-1+D302</f>
        <v>-0.17255699999999996</v>
      </c>
      <c r="E303" s="241"/>
      <c r="F303" s="241"/>
      <c r="G303" s="241"/>
      <c r="H303" s="241"/>
      <c r="I303" s="241"/>
      <c r="J303" s="301">
        <f>-1+J302</f>
        <v>-0.17255699999999996</v>
      </c>
      <c r="K303" s="241"/>
      <c r="L303" s="241"/>
      <c r="M303" s="241"/>
      <c r="N303" s="241"/>
      <c r="O303" s="241"/>
    </row>
    <row r="304" spans="1:15" hidden="1" outlineLevel="1" x14ac:dyDescent="0.2">
      <c r="A304" s="300" t="s">
        <v>719</v>
      </c>
      <c r="B304" s="238" t="s">
        <v>510</v>
      </c>
      <c r="C304" s="242">
        <v>0.20749999999999999</v>
      </c>
      <c r="D304" s="242">
        <v>0.40500000000000003</v>
      </c>
      <c r="E304" s="242"/>
      <c r="F304" s="242"/>
      <c r="G304" s="242"/>
      <c r="H304" s="240"/>
      <c r="I304" s="242">
        <f>C304</f>
        <v>0.20749999999999999</v>
      </c>
      <c r="J304" s="242">
        <f>D304</f>
        <v>0.40500000000000003</v>
      </c>
      <c r="K304" s="242"/>
      <c r="L304" s="240"/>
      <c r="M304" s="242"/>
      <c r="N304" s="242"/>
      <c r="O304" s="242"/>
    </row>
    <row r="305" spans="1:15" hidden="1" outlineLevel="1" x14ac:dyDescent="0.2">
      <c r="A305" s="241"/>
      <c r="B305" s="241"/>
      <c r="C305" s="241"/>
      <c r="D305" s="241"/>
      <c r="E305" s="241"/>
      <c r="F305" s="241"/>
      <c r="G305" s="241"/>
      <c r="H305" s="241"/>
      <c r="I305" s="241"/>
      <c r="J305" s="241"/>
      <c r="K305" s="241"/>
      <c r="L305" s="241"/>
      <c r="M305" s="241"/>
      <c r="N305" s="241"/>
      <c r="O305" s="241"/>
    </row>
    <row r="306" spans="1:15" hidden="1" outlineLevel="1" x14ac:dyDescent="0.2">
      <c r="A306" s="241" t="s">
        <v>564</v>
      </c>
      <c r="B306" s="238" t="s">
        <v>510</v>
      </c>
      <c r="C306" s="242">
        <v>0.14499999999999999</v>
      </c>
      <c r="D306" s="242">
        <v>0.28000000000000003</v>
      </c>
      <c r="E306" s="242">
        <f>C306</f>
        <v>0.14499999999999999</v>
      </c>
      <c r="F306" s="242">
        <v>6.2E-2</v>
      </c>
      <c r="G306" s="242" t="s">
        <v>531</v>
      </c>
      <c r="H306" s="240"/>
      <c r="I306" s="242">
        <f>C306</f>
        <v>0.14499999999999999</v>
      </c>
      <c r="J306" s="242">
        <f>D306</f>
        <v>0.28000000000000003</v>
      </c>
      <c r="K306" s="242"/>
      <c r="L306" s="240"/>
      <c r="M306" s="242"/>
      <c r="N306" s="242"/>
      <c r="O306" s="242"/>
    </row>
    <row r="307" spans="1:15" hidden="1" outlineLevel="1" x14ac:dyDescent="0.2">
      <c r="A307" s="241" t="s">
        <v>565</v>
      </c>
      <c r="B307" s="238" t="s">
        <v>511</v>
      </c>
      <c r="C307" s="242">
        <v>1.4500000000000001E-2</v>
      </c>
      <c r="D307" s="242">
        <f>C307</f>
        <v>1.4500000000000001E-2</v>
      </c>
      <c r="E307" s="242">
        <f>C307</f>
        <v>1.4500000000000001E-2</v>
      </c>
      <c r="F307" s="242">
        <f>C307</f>
        <v>1.4500000000000001E-2</v>
      </c>
      <c r="G307" s="242">
        <f>C307</f>
        <v>1.4500000000000001E-2</v>
      </c>
      <c r="H307" s="240"/>
      <c r="I307" s="242">
        <f>C307</f>
        <v>1.4500000000000001E-2</v>
      </c>
      <c r="J307" s="242">
        <f>C307</f>
        <v>1.4500000000000001E-2</v>
      </c>
      <c r="K307" s="242">
        <f>C307</f>
        <v>1.4500000000000001E-2</v>
      </c>
      <c r="L307" s="240"/>
      <c r="M307" s="242"/>
      <c r="N307" s="242">
        <f>C307</f>
        <v>1.4500000000000001E-2</v>
      </c>
      <c r="O307" s="242"/>
    </row>
    <row r="308" spans="1:15" hidden="1" outlineLevel="1" x14ac:dyDescent="0.2">
      <c r="A308" s="300" t="s">
        <v>566</v>
      </c>
      <c r="B308" s="238" t="s">
        <v>512</v>
      </c>
      <c r="C308" s="242">
        <v>2E-3</v>
      </c>
      <c r="D308" s="242">
        <f>C308</f>
        <v>2E-3</v>
      </c>
      <c r="E308" s="242">
        <f>C308</f>
        <v>2E-3</v>
      </c>
      <c r="F308" s="242">
        <f>C308</f>
        <v>2E-3</v>
      </c>
      <c r="G308" s="242">
        <f>C308</f>
        <v>2E-3</v>
      </c>
      <c r="H308" s="240"/>
      <c r="I308" s="242">
        <f>C308</f>
        <v>2E-3</v>
      </c>
      <c r="J308" s="242">
        <f>C308</f>
        <v>2E-3</v>
      </c>
      <c r="K308" s="242">
        <f>C308</f>
        <v>2E-3</v>
      </c>
      <c r="L308" s="240"/>
      <c r="M308" s="242"/>
      <c r="N308" s="242">
        <f>C308</f>
        <v>2E-3</v>
      </c>
      <c r="O308" s="242"/>
    </row>
    <row r="309" spans="1:15" hidden="1" outlineLevel="1" x14ac:dyDescent="0.2">
      <c r="A309" s="241" t="s">
        <v>340</v>
      </c>
      <c r="B309" s="238" t="s">
        <v>513</v>
      </c>
      <c r="C309" s="242">
        <v>2.6599999999999999E-2</v>
      </c>
      <c r="D309" s="242">
        <f>C309</f>
        <v>2.6599999999999999E-2</v>
      </c>
      <c r="E309" s="242"/>
      <c r="F309" s="242">
        <f>C309</f>
        <v>2.6599999999999999E-2</v>
      </c>
      <c r="G309" s="242"/>
      <c r="H309" s="594"/>
      <c r="I309" s="242">
        <f>C309</f>
        <v>2.6599999999999999E-2</v>
      </c>
      <c r="J309" s="242">
        <f>C309</f>
        <v>2.6599999999999999E-2</v>
      </c>
      <c r="K309" s="444"/>
      <c r="L309" s="240"/>
      <c r="M309" s="242"/>
      <c r="N309" s="242"/>
      <c r="O309" s="242"/>
    </row>
    <row r="310" spans="1:15" hidden="1" outlineLevel="1" x14ac:dyDescent="0.2">
      <c r="A310" s="300" t="s">
        <v>842</v>
      </c>
      <c r="B310" s="238" t="s">
        <v>530</v>
      </c>
      <c r="C310" s="247"/>
      <c r="D310" s="247"/>
      <c r="E310" s="247"/>
      <c r="F310" s="247"/>
      <c r="G310" s="247" t="s">
        <v>583</v>
      </c>
      <c r="H310" s="240"/>
      <c r="I310" s="247"/>
      <c r="J310" s="247"/>
      <c r="K310" s="247"/>
      <c r="L310" s="240"/>
      <c r="M310" s="247"/>
      <c r="N310" s="247" t="s">
        <v>583</v>
      </c>
      <c r="O310" s="247"/>
    </row>
    <row r="311" spans="1:15" hidden="1" outlineLevel="1" x14ac:dyDescent="0.2">
      <c r="A311" s="245" t="s">
        <v>568</v>
      </c>
      <c r="B311" s="238"/>
      <c r="C311" s="595">
        <f>SUM(C306:C310)</f>
        <v>0.18809999999999999</v>
      </c>
      <c r="D311" s="595">
        <f>SUM(D306:D310)</f>
        <v>0.32310000000000005</v>
      </c>
      <c r="E311" s="493">
        <f>SUM(E306:E310)</f>
        <v>0.1615</v>
      </c>
      <c r="F311" s="493">
        <f>SUM(F306:F310)</f>
        <v>0.1051</v>
      </c>
      <c r="G311" s="493">
        <f>SUM(G306:G310)</f>
        <v>1.6500000000000001E-2</v>
      </c>
      <c r="H311" s="240"/>
      <c r="I311" s="595">
        <f>SUM(I306:I310)</f>
        <v>0.18809999999999999</v>
      </c>
      <c r="J311" s="595">
        <f>SUM(J306:J310)</f>
        <v>0.32310000000000005</v>
      </c>
      <c r="K311" s="493">
        <f>SUM(K306:K310)</f>
        <v>1.6500000000000001E-2</v>
      </c>
      <c r="L311" s="240"/>
      <c r="M311" s="493">
        <f>SUM(M306:M310)</f>
        <v>0</v>
      </c>
      <c r="N311" s="493">
        <f>SUM(N306:N310)</f>
        <v>1.6500000000000001E-2</v>
      </c>
      <c r="O311" s="493">
        <f>SUM(O306:O310)</f>
        <v>0</v>
      </c>
    </row>
    <row r="312" spans="1:15" hidden="1" outlineLevel="1" x14ac:dyDescent="0.2">
      <c r="A312" s="300" t="s">
        <v>724</v>
      </c>
      <c r="B312" s="238" t="s">
        <v>514</v>
      </c>
      <c r="C312" s="243">
        <v>1.4999999999999999E-2</v>
      </c>
      <c r="D312" s="519">
        <f>C312</f>
        <v>1.4999999999999999E-2</v>
      </c>
      <c r="E312" s="519">
        <f>C312</f>
        <v>1.4999999999999999E-2</v>
      </c>
      <c r="F312" s="519">
        <f>C312</f>
        <v>1.4999999999999999E-2</v>
      </c>
      <c r="G312" s="519">
        <f>C312</f>
        <v>1.4999999999999999E-2</v>
      </c>
      <c r="H312" s="240"/>
      <c r="I312" s="519">
        <f>C312</f>
        <v>1.4999999999999999E-2</v>
      </c>
      <c r="J312" s="519">
        <f>C312</f>
        <v>1.4999999999999999E-2</v>
      </c>
      <c r="K312" s="519">
        <f>C312</f>
        <v>1.4999999999999999E-2</v>
      </c>
      <c r="L312" s="240"/>
      <c r="M312" s="519">
        <f>C312</f>
        <v>1.4999999999999999E-2</v>
      </c>
      <c r="N312" s="520">
        <v>1.4999999999999999E-2</v>
      </c>
      <c r="O312" s="519">
        <f>C312</f>
        <v>1.4999999999999999E-2</v>
      </c>
    </row>
    <row r="313" spans="1:15" hidden="1" outlineLevel="1" x14ac:dyDescent="0.2">
      <c r="A313" s="245" t="s">
        <v>541</v>
      </c>
      <c r="B313" s="238"/>
      <c r="C313" s="248">
        <f>SUM(C311:C312)</f>
        <v>0.2031</v>
      </c>
      <c r="D313" s="248">
        <f>SUM(D311:D312)</f>
        <v>0.33810000000000007</v>
      </c>
      <c r="E313" s="248">
        <f>SUM(E311:E312)</f>
        <v>0.17649999999999999</v>
      </c>
      <c r="F313" s="248">
        <f>SUM(F311:F312)</f>
        <v>0.1201</v>
      </c>
      <c r="G313" s="248">
        <f>SUM(G311:G312)</f>
        <v>3.15E-2</v>
      </c>
      <c r="H313" s="240"/>
      <c r="I313" s="248">
        <f>SUM(I311:I312)</f>
        <v>0.2031</v>
      </c>
      <c r="J313" s="248">
        <f>SUM(J311:J312)</f>
        <v>0.33810000000000007</v>
      </c>
      <c r="K313" s="248">
        <f>SUM(K311:K312)</f>
        <v>3.15E-2</v>
      </c>
      <c r="L313" s="240"/>
      <c r="M313" s="248">
        <f>SUM(M311:M312)</f>
        <v>1.4999999999999999E-2</v>
      </c>
      <c r="N313" s="248">
        <f>SUM(N311:N312)</f>
        <v>3.15E-2</v>
      </c>
      <c r="O313" s="248">
        <f>SUM(O311:O312)</f>
        <v>1.4999999999999999E-2</v>
      </c>
    </row>
    <row r="314" spans="1:15" hidden="1" outlineLevel="1" x14ac:dyDescent="0.2">
      <c r="A314" s="241" t="s">
        <v>567</v>
      </c>
      <c r="B314" s="238" t="s">
        <v>569</v>
      </c>
      <c r="C314" s="242"/>
      <c r="D314" s="242"/>
      <c r="E314" s="242"/>
      <c r="F314" s="242"/>
      <c r="G314" s="242"/>
      <c r="H314" s="240"/>
      <c r="I314" s="242">
        <v>6.0000000000000001E-3</v>
      </c>
      <c r="J314" s="242">
        <f>I314</f>
        <v>6.0000000000000001E-3</v>
      </c>
      <c r="K314" s="243"/>
      <c r="L314" s="240"/>
      <c r="M314" s="243"/>
      <c r="N314" s="243"/>
      <c r="O314" s="243"/>
    </row>
    <row r="315" spans="1:15" s="11" customFormat="1" hidden="1" outlineLevel="1" x14ac:dyDescent="0.2">
      <c r="A315" s="494" t="s">
        <v>782</v>
      </c>
      <c r="B315" s="911" t="s">
        <v>593</v>
      </c>
      <c r="C315" s="249">
        <v>8916</v>
      </c>
      <c r="D315" s="249">
        <f>C315</f>
        <v>8916</v>
      </c>
      <c r="E315" s="249">
        <f>C315</f>
        <v>8916</v>
      </c>
      <c r="F315" s="249"/>
      <c r="G315" s="912"/>
      <c r="H315" s="912"/>
      <c r="I315" s="249">
        <f>C315</f>
        <v>8916</v>
      </c>
      <c r="J315" s="249">
        <f>C315</f>
        <v>8916</v>
      </c>
      <c r="K315" s="14"/>
      <c r="L315" s="14"/>
      <c r="M315" s="588" t="s">
        <v>845</v>
      </c>
      <c r="N315" s="14"/>
      <c r="O315" s="14"/>
    </row>
    <row r="316" spans="1:15" hidden="1" outlineLevel="1" x14ac:dyDescent="0.2">
      <c r="A316" s="241"/>
      <c r="B316" s="238"/>
      <c r="C316" s="242"/>
      <c r="D316" s="242"/>
      <c r="E316" s="242"/>
      <c r="F316" s="242"/>
      <c r="G316" s="242"/>
      <c r="H316" s="240"/>
      <c r="I316" s="242"/>
      <c r="J316" s="242"/>
      <c r="K316" s="243"/>
      <c r="L316" s="240"/>
      <c r="M316" s="243"/>
      <c r="N316" s="243"/>
      <c r="O316" s="243"/>
    </row>
    <row r="317" spans="1:15" hidden="1" outlineLevel="1" x14ac:dyDescent="0.2">
      <c r="A317" s="366" t="s">
        <v>741</v>
      </c>
      <c r="B317" s="238"/>
      <c r="C317" s="243">
        <v>0</v>
      </c>
      <c r="D317" s="243">
        <v>0</v>
      </c>
      <c r="E317" s="243"/>
      <c r="F317" s="243"/>
      <c r="G317" s="243"/>
      <c r="H317" s="240"/>
      <c r="I317" s="243">
        <f>C317</f>
        <v>0</v>
      </c>
      <c r="J317" s="243">
        <f>C317</f>
        <v>0</v>
      </c>
      <c r="K317" s="243"/>
      <c r="L317" s="240"/>
      <c r="M317" s="243"/>
      <c r="N317" s="243"/>
      <c r="O317" s="243"/>
    </row>
    <row r="318" spans="1:15" hidden="1" outlineLevel="1" x14ac:dyDescent="0.2">
      <c r="A318" s="366" t="s">
        <v>843</v>
      </c>
      <c r="B318" s="238"/>
      <c r="C318" s="13"/>
      <c r="D318" s="13"/>
      <c r="E318" s="13"/>
      <c r="F318" s="13"/>
      <c r="G318" s="13"/>
      <c r="H318" s="13"/>
      <c r="I318" s="13"/>
      <c r="J318" s="13"/>
      <c r="K318" s="13"/>
      <c r="L318" s="13"/>
      <c r="M318" s="13"/>
      <c r="N318" s="13"/>
      <c r="O318" s="13"/>
    </row>
    <row r="319" spans="1:15" hidden="1" outlineLevel="1" x14ac:dyDescent="0.2">
      <c r="A319" s="13"/>
      <c r="B319" s="238"/>
      <c r="C319" s="585" t="s">
        <v>906</v>
      </c>
      <c r="D319" s="13"/>
      <c r="E319" s="13"/>
      <c r="F319" s="13"/>
      <c r="G319" s="13"/>
      <c r="H319" s="13"/>
      <c r="I319" s="13"/>
      <c r="J319" s="13"/>
      <c r="K319" s="13"/>
      <c r="L319" s="13"/>
      <c r="M319" s="13"/>
      <c r="N319" s="13"/>
      <c r="O319" s="13"/>
    </row>
    <row r="320" spans="1:15" hidden="1" outlineLevel="1" x14ac:dyDescent="0.2">
      <c r="A320" s="13"/>
      <c r="B320" s="238"/>
      <c r="C320" s="306" t="s">
        <v>723</v>
      </c>
      <c r="D320" s="13"/>
      <c r="E320" s="13"/>
      <c r="F320" s="13"/>
      <c r="G320" s="13"/>
      <c r="H320" s="13"/>
      <c r="I320" s="13"/>
      <c r="J320" s="13"/>
      <c r="K320" s="13"/>
      <c r="L320" s="13"/>
      <c r="M320" s="13"/>
      <c r="N320" s="13"/>
      <c r="O320" s="13"/>
    </row>
    <row r="321" spans="1:15" hidden="1" outlineLevel="1" x14ac:dyDescent="0.2">
      <c r="C321" s="306" t="s">
        <v>919</v>
      </c>
    </row>
    <row r="322" spans="1:15" hidden="1" outlineLevel="1" x14ac:dyDescent="0.2">
      <c r="C322" s="554" t="s">
        <v>846</v>
      </c>
    </row>
    <row r="323" spans="1:15" hidden="1" outlineLevel="1" x14ac:dyDescent="0.2">
      <c r="C323" s="554" t="s">
        <v>847</v>
      </c>
    </row>
    <row r="324" spans="1:15" hidden="1" outlineLevel="1" x14ac:dyDescent="0.2">
      <c r="A324" s="13"/>
      <c r="B324" s="238"/>
      <c r="C324" s="584" t="s">
        <v>844</v>
      </c>
      <c r="D324" s="13"/>
      <c r="E324" s="13"/>
      <c r="F324" s="13"/>
      <c r="G324" s="13"/>
      <c r="H324" s="13"/>
      <c r="I324" s="13"/>
      <c r="J324" s="13"/>
      <c r="K324" s="13"/>
      <c r="L324" s="13"/>
      <c r="M324" s="13"/>
      <c r="N324" s="13"/>
      <c r="O324" s="13"/>
    </row>
    <row r="325" spans="1:15" hidden="1" outlineLevel="1" x14ac:dyDescent="0.2">
      <c r="A325" s="13"/>
      <c r="B325" s="238"/>
      <c r="C325" s="584" t="s">
        <v>844</v>
      </c>
      <c r="D325" s="13"/>
      <c r="E325" s="13"/>
      <c r="F325" s="13"/>
      <c r="G325" s="13"/>
      <c r="H325" s="13"/>
      <c r="I325" s="13"/>
      <c r="J325" s="13"/>
      <c r="K325" s="13"/>
      <c r="L325" s="13"/>
      <c r="M325" s="13"/>
      <c r="N325" s="13"/>
      <c r="O325" s="13"/>
    </row>
    <row r="326" spans="1:15" hidden="1" outlineLevel="1" x14ac:dyDescent="0.2">
      <c r="A326" s="13"/>
      <c r="B326" s="238"/>
      <c r="C326" s="584"/>
      <c r="D326" s="13"/>
      <c r="E326" s="13"/>
      <c r="F326" s="13"/>
      <c r="G326" s="13"/>
      <c r="H326" s="13"/>
      <c r="I326" s="13"/>
      <c r="J326" s="13"/>
      <c r="K326" s="13"/>
      <c r="L326" s="13"/>
      <c r="M326" s="13"/>
      <c r="N326" s="13"/>
      <c r="O326" s="13"/>
    </row>
    <row r="327" spans="1:15" collapsed="1" x14ac:dyDescent="0.2">
      <c r="D327" s="20"/>
    </row>
    <row r="328" spans="1:15" hidden="1" outlineLevel="1" x14ac:dyDescent="0.2">
      <c r="A328" s="317" t="s">
        <v>928</v>
      </c>
      <c r="B328" s="239"/>
      <c r="C328" s="1527" t="s">
        <v>1266</v>
      </c>
      <c r="D328" s="1528"/>
      <c r="E328" s="1528"/>
      <c r="F328" s="1528"/>
      <c r="G328" s="1528"/>
      <c r="H328" s="1528"/>
      <c r="I328" s="1528"/>
      <c r="J328" s="1528"/>
      <c r="K328" s="1528"/>
      <c r="L328" s="1528"/>
      <c r="M328" s="1528"/>
      <c r="N328" s="1528"/>
      <c r="O328" s="1529"/>
    </row>
    <row r="329" spans="1:15" hidden="1" outlineLevel="1" x14ac:dyDescent="0.2">
      <c r="A329" s="317"/>
      <c r="B329" s="238"/>
      <c r="C329" s="167" t="s">
        <v>1167</v>
      </c>
      <c r="I329" s="167" t="s">
        <v>1168</v>
      </c>
      <c r="M329" s="167" t="s">
        <v>734</v>
      </c>
    </row>
    <row r="330" spans="1:15" ht="33.75" hidden="1" outlineLevel="1" x14ac:dyDescent="0.2">
      <c r="A330" s="241"/>
      <c r="B330" s="521" t="s">
        <v>736</v>
      </c>
      <c r="C330" s="307" t="s">
        <v>563</v>
      </c>
      <c r="D330" s="307" t="s">
        <v>562</v>
      </c>
      <c r="E330" s="307" t="s">
        <v>331</v>
      </c>
      <c r="F330" s="308" t="s">
        <v>334</v>
      </c>
      <c r="G330" s="307" t="s">
        <v>249</v>
      </c>
      <c r="H330" s="306"/>
      <c r="I330" s="307" t="s">
        <v>563</v>
      </c>
      <c r="J330" s="307" t="s">
        <v>562</v>
      </c>
      <c r="K330" s="307" t="s">
        <v>613</v>
      </c>
      <c r="L330" s="306"/>
      <c r="M330" s="304" t="s">
        <v>730</v>
      </c>
      <c r="N330" s="304" t="s">
        <v>612</v>
      </c>
      <c r="O330" s="304" t="s">
        <v>729</v>
      </c>
    </row>
    <row r="331" spans="1:15" hidden="1" outlineLevel="1" x14ac:dyDescent="0.2">
      <c r="A331" s="300" t="s">
        <v>604</v>
      </c>
      <c r="B331" s="241"/>
      <c r="C331" s="241"/>
      <c r="D331" s="416">
        <v>0.87719000000000003</v>
      </c>
      <c r="E331" s="241"/>
      <c r="F331" s="241"/>
      <c r="G331" s="241"/>
      <c r="H331" s="241"/>
      <c r="I331" s="241"/>
      <c r="J331" s="416">
        <v>0.87719000000000003</v>
      </c>
      <c r="K331" s="241"/>
      <c r="L331" s="241"/>
      <c r="M331" s="241"/>
      <c r="N331" s="241"/>
      <c r="O331" s="241"/>
    </row>
    <row r="332" spans="1:15" hidden="1" outlineLevel="1" x14ac:dyDescent="0.2">
      <c r="A332" s="300" t="s">
        <v>727</v>
      </c>
      <c r="B332" s="241"/>
      <c r="C332" s="241"/>
      <c r="D332" s="416">
        <v>-0.12280999999999997</v>
      </c>
      <c r="E332" s="241"/>
      <c r="F332" s="241"/>
      <c r="G332" s="241"/>
      <c r="H332" s="241"/>
      <c r="I332" s="241"/>
      <c r="J332" s="416">
        <v>-0.12280999999999997</v>
      </c>
      <c r="K332" s="241"/>
      <c r="L332" s="241"/>
      <c r="M332" s="241"/>
      <c r="N332" s="241"/>
      <c r="O332" s="241"/>
    </row>
    <row r="333" spans="1:15" hidden="1" outlineLevel="1" x14ac:dyDescent="0.2">
      <c r="A333" s="300" t="s">
        <v>664</v>
      </c>
      <c r="B333" s="241"/>
      <c r="C333" s="241"/>
      <c r="D333" s="301">
        <v>0.82744300000000004</v>
      </c>
      <c r="E333" s="241"/>
      <c r="F333" s="241"/>
      <c r="G333" s="241"/>
      <c r="H333" s="241"/>
      <c r="I333" s="241"/>
      <c r="J333" s="301">
        <v>0.82744300000000004</v>
      </c>
      <c r="K333" s="241"/>
      <c r="L333" s="241"/>
      <c r="M333" s="241"/>
      <c r="N333" s="241"/>
      <c r="O333" s="241"/>
    </row>
    <row r="334" spans="1:15" hidden="1" outlineLevel="1" x14ac:dyDescent="0.2">
      <c r="A334" s="300" t="s">
        <v>737</v>
      </c>
      <c r="B334" s="241"/>
      <c r="C334" s="241"/>
      <c r="D334" s="301">
        <v>-0.17255699999999996</v>
      </c>
      <c r="E334" s="241"/>
      <c r="F334" s="241"/>
      <c r="G334" s="241"/>
      <c r="H334" s="241"/>
      <c r="I334" s="241"/>
      <c r="J334" s="301">
        <v>-0.17255699999999996</v>
      </c>
      <c r="K334" s="241"/>
      <c r="L334" s="241"/>
      <c r="M334" s="241"/>
      <c r="N334" s="241"/>
      <c r="O334" s="241"/>
    </row>
    <row r="335" spans="1:15" hidden="1" outlineLevel="1" x14ac:dyDescent="0.2">
      <c r="A335" s="300" t="s">
        <v>719</v>
      </c>
      <c r="B335" s="238"/>
      <c r="C335" s="242">
        <v>0.20749999999999999</v>
      </c>
      <c r="D335" s="242">
        <v>0.40500000000000003</v>
      </c>
      <c r="E335" s="242"/>
      <c r="F335" s="242"/>
      <c r="G335" s="242"/>
      <c r="H335" s="240"/>
      <c r="I335" s="242">
        <v>0.20749999999999999</v>
      </c>
      <c r="J335" s="242">
        <v>0.40500000000000003</v>
      </c>
      <c r="K335" s="242"/>
      <c r="L335" s="240"/>
      <c r="M335" s="242"/>
      <c r="N335" s="242"/>
      <c r="O335" s="242"/>
    </row>
    <row r="336" spans="1:15" hidden="1" outlineLevel="1" x14ac:dyDescent="0.2">
      <c r="A336" s="241"/>
      <c r="B336" s="241"/>
      <c r="C336" s="241"/>
      <c r="D336" s="241"/>
      <c r="E336" s="241"/>
      <c r="F336" s="241"/>
      <c r="G336" s="241"/>
      <c r="H336" s="241"/>
      <c r="I336" s="241"/>
      <c r="J336" s="241"/>
      <c r="K336" s="241"/>
      <c r="L336" s="241"/>
      <c r="M336" s="241"/>
      <c r="N336" s="241"/>
      <c r="O336" s="241"/>
    </row>
    <row r="337" spans="1:15" hidden="1" outlineLevel="1" x14ac:dyDescent="0.2">
      <c r="A337" s="241" t="s">
        <v>564</v>
      </c>
      <c r="B337" s="238"/>
      <c r="C337" s="242">
        <v>0.14499999999999999</v>
      </c>
      <c r="D337" s="242">
        <v>0.28000000000000003</v>
      </c>
      <c r="E337" s="242">
        <v>0.14499999999999999</v>
      </c>
      <c r="F337" s="242">
        <v>6.2E-2</v>
      </c>
      <c r="G337" s="242" t="s">
        <v>531</v>
      </c>
      <c r="H337" s="240"/>
      <c r="I337" s="242">
        <v>0.14499999999999999</v>
      </c>
      <c r="J337" s="242">
        <v>0.28000000000000003</v>
      </c>
      <c r="K337" s="242"/>
      <c r="L337" s="240"/>
      <c r="M337" s="242"/>
      <c r="N337" s="242"/>
      <c r="O337" s="242"/>
    </row>
    <row r="338" spans="1:15" hidden="1" outlineLevel="1" x14ac:dyDescent="0.2">
      <c r="A338" s="241" t="s">
        <v>565</v>
      </c>
      <c r="B338" s="238"/>
      <c r="C338" s="242">
        <v>1.4500000000000001E-2</v>
      </c>
      <c r="D338" s="242">
        <v>1.4500000000000001E-2</v>
      </c>
      <c r="E338" s="242">
        <v>1.4500000000000001E-2</v>
      </c>
      <c r="F338" s="242">
        <v>1.4500000000000001E-2</v>
      </c>
      <c r="G338" s="242">
        <v>1.4500000000000001E-2</v>
      </c>
      <c r="H338" s="240"/>
      <c r="I338" s="242">
        <v>1.4500000000000001E-2</v>
      </c>
      <c r="J338" s="242">
        <v>1.4500000000000001E-2</v>
      </c>
      <c r="K338" s="242">
        <v>1.4500000000000001E-2</v>
      </c>
      <c r="L338" s="240"/>
      <c r="M338" s="242"/>
      <c r="N338" s="242">
        <v>1.4500000000000001E-2</v>
      </c>
      <c r="O338" s="242"/>
    </row>
    <row r="339" spans="1:15" hidden="1" outlineLevel="1" x14ac:dyDescent="0.2">
      <c r="A339" s="300" t="s">
        <v>566</v>
      </c>
      <c r="B339" s="238"/>
      <c r="C339" s="242">
        <v>2E-3</v>
      </c>
      <c r="D339" s="242">
        <v>2E-3</v>
      </c>
      <c r="E339" s="242">
        <v>2E-3</v>
      </c>
      <c r="F339" s="242">
        <v>2E-3</v>
      </c>
      <c r="G339" s="242">
        <v>2E-3</v>
      </c>
      <c r="H339" s="240"/>
      <c r="I339" s="242">
        <v>2E-3</v>
      </c>
      <c r="J339" s="242">
        <v>2E-3</v>
      </c>
      <c r="K339" s="242">
        <v>2E-3</v>
      </c>
      <c r="L339" s="240"/>
      <c r="M339" s="242"/>
      <c r="N339" s="242">
        <v>2E-3</v>
      </c>
      <c r="O339" s="242"/>
    </row>
    <row r="340" spans="1:15" hidden="1" outlineLevel="1" x14ac:dyDescent="0.2">
      <c r="A340" s="241" t="s">
        <v>340</v>
      </c>
      <c r="B340" s="238"/>
      <c r="C340" s="242">
        <v>2.3400000000000001E-2</v>
      </c>
      <c r="D340" s="242">
        <v>2.3400000000000001E-2</v>
      </c>
      <c r="E340" s="242"/>
      <c r="F340" s="242">
        <v>2.3400000000000001E-2</v>
      </c>
      <c r="G340" s="242"/>
      <c r="H340" s="594"/>
      <c r="I340" s="242">
        <v>2.3400000000000001E-2</v>
      </c>
      <c r="J340" s="242">
        <v>2.3400000000000001E-2</v>
      </c>
      <c r="K340" s="444"/>
      <c r="L340" s="240"/>
      <c r="M340" s="242"/>
      <c r="N340" s="242"/>
      <c r="O340" s="242"/>
    </row>
    <row r="341" spans="1:15" hidden="1" outlineLevel="1" x14ac:dyDescent="0.2">
      <c r="A341" s="300" t="s">
        <v>1169</v>
      </c>
      <c r="B341" s="238"/>
      <c r="C341" s="247"/>
      <c r="D341" s="247"/>
      <c r="E341" s="247"/>
      <c r="F341" s="247"/>
      <c r="G341" s="247" t="s">
        <v>583</v>
      </c>
      <c r="H341" s="240"/>
      <c r="I341" s="247"/>
      <c r="J341" s="247"/>
      <c r="K341" s="247"/>
      <c r="L341" s="240"/>
      <c r="M341" s="247"/>
      <c r="N341" s="247" t="s">
        <v>583</v>
      </c>
      <c r="O341" s="247"/>
    </row>
    <row r="342" spans="1:15" hidden="1" outlineLevel="1" x14ac:dyDescent="0.2">
      <c r="A342" s="245" t="s">
        <v>568</v>
      </c>
      <c r="B342" s="238"/>
      <c r="C342" s="595">
        <v>0.18490000000000001</v>
      </c>
      <c r="D342" s="595">
        <v>0.31990000000000002</v>
      </c>
      <c r="E342" s="493">
        <v>0.1615</v>
      </c>
      <c r="F342" s="493">
        <v>0.1019</v>
      </c>
      <c r="G342" s="493">
        <v>1.6500000000000001E-2</v>
      </c>
      <c r="H342" s="240"/>
      <c r="I342" s="595">
        <v>0.18490000000000001</v>
      </c>
      <c r="J342" s="595">
        <v>0.31990000000000002</v>
      </c>
      <c r="K342" s="493">
        <v>1.6500000000000001E-2</v>
      </c>
      <c r="L342" s="240"/>
      <c r="M342" s="493">
        <v>0</v>
      </c>
      <c r="N342" s="493">
        <v>1.6500000000000001E-2</v>
      </c>
      <c r="O342" s="493">
        <v>0</v>
      </c>
    </row>
    <row r="343" spans="1:15" hidden="1" outlineLevel="1" x14ac:dyDescent="0.2">
      <c r="A343" s="300" t="s">
        <v>1170</v>
      </c>
      <c r="B343" s="238"/>
      <c r="C343" s="243">
        <v>1.4999999999999999E-2</v>
      </c>
      <c r="D343" s="519">
        <v>1.4999999999999999E-2</v>
      </c>
      <c r="E343" s="519">
        <v>1.4999999999999999E-2</v>
      </c>
      <c r="F343" s="519">
        <v>1.4999999999999999E-2</v>
      </c>
      <c r="G343" s="519">
        <v>1.4999999999999999E-2</v>
      </c>
      <c r="H343" s="240"/>
      <c r="I343" s="519">
        <v>1.4999999999999999E-2</v>
      </c>
      <c r="J343" s="519">
        <v>1.4999999999999999E-2</v>
      </c>
      <c r="K343" s="519">
        <v>1.4999999999999999E-2</v>
      </c>
      <c r="L343" s="240"/>
      <c r="M343" s="519">
        <v>1.4999999999999999E-2</v>
      </c>
      <c r="N343" s="520">
        <v>1.4999999999999999E-2</v>
      </c>
      <c r="O343" s="519">
        <v>1.4999999999999999E-2</v>
      </c>
    </row>
    <row r="344" spans="1:15" hidden="1" outlineLevel="1" x14ac:dyDescent="0.2">
      <c r="A344" s="245" t="s">
        <v>541</v>
      </c>
      <c r="B344" s="238"/>
      <c r="C344" s="248">
        <v>0.19990000000000002</v>
      </c>
      <c r="D344" s="248">
        <v>0.33490000000000003</v>
      </c>
      <c r="E344" s="248">
        <v>0.17649999999999999</v>
      </c>
      <c r="F344" s="248">
        <v>0.1169</v>
      </c>
      <c r="G344" s="248">
        <v>3.15E-2</v>
      </c>
      <c r="H344" s="240"/>
      <c r="I344" s="248">
        <v>0.19990000000000002</v>
      </c>
      <c r="J344" s="248">
        <v>0.33490000000000003</v>
      </c>
      <c r="K344" s="248">
        <v>3.15E-2</v>
      </c>
      <c r="L344" s="240"/>
      <c r="M344" s="248">
        <v>1.4999999999999999E-2</v>
      </c>
      <c r="N344" s="248">
        <v>3.15E-2</v>
      </c>
      <c r="O344" s="248">
        <v>1.4999999999999999E-2</v>
      </c>
    </row>
    <row r="345" spans="1:15" hidden="1" outlineLevel="1" x14ac:dyDescent="0.2">
      <c r="A345" s="241" t="s">
        <v>567</v>
      </c>
      <c r="B345" s="238"/>
      <c r="C345" s="242"/>
      <c r="D345" s="242"/>
      <c r="E345" s="242"/>
      <c r="F345" s="242"/>
      <c r="G345" s="242"/>
      <c r="H345" s="240"/>
      <c r="I345" s="913">
        <v>265.69</v>
      </c>
      <c r="J345" s="913">
        <v>265.69</v>
      </c>
      <c r="K345" s="243"/>
      <c r="L345" s="240"/>
      <c r="M345" s="243"/>
      <c r="N345" s="243"/>
      <c r="O345" s="243"/>
    </row>
    <row r="346" spans="1:15" s="11" customFormat="1" hidden="1" outlineLevel="1" x14ac:dyDescent="0.2">
      <c r="A346" s="494" t="s">
        <v>1171</v>
      </c>
      <c r="B346" s="911"/>
      <c r="C346" s="249">
        <v>8891.0399999999991</v>
      </c>
      <c r="D346" s="249">
        <v>8891.0399999999991</v>
      </c>
      <c r="E346" s="249">
        <v>8891.0399999999991</v>
      </c>
      <c r="F346" s="249"/>
      <c r="G346" s="912"/>
      <c r="H346" s="912"/>
      <c r="I346" s="249">
        <v>8891.0399999999991</v>
      </c>
      <c r="J346" s="249">
        <v>8891.0399999999991</v>
      </c>
      <c r="K346" s="14"/>
      <c r="L346" s="14"/>
      <c r="M346" s="588" t="s">
        <v>845</v>
      </c>
      <c r="N346" s="14"/>
      <c r="O346" s="14"/>
    </row>
    <row r="347" spans="1:15" hidden="1" outlineLevel="1" x14ac:dyDescent="0.2">
      <c r="A347" s="241"/>
      <c r="B347" s="238"/>
      <c r="C347" s="242"/>
      <c r="D347" s="242"/>
      <c r="E347" s="242"/>
      <c r="F347" s="242"/>
      <c r="G347" s="242"/>
      <c r="H347" s="240"/>
      <c r="I347" s="242"/>
      <c r="J347" s="242"/>
      <c r="K347" s="243"/>
      <c r="L347" s="240"/>
      <c r="M347" s="243"/>
      <c r="N347" s="243"/>
      <c r="O347" s="243"/>
    </row>
    <row r="348" spans="1:15" hidden="1" outlineLevel="1" x14ac:dyDescent="0.2">
      <c r="A348" s="366" t="s">
        <v>741</v>
      </c>
      <c r="B348" s="238"/>
      <c r="C348" s="243">
        <v>0</v>
      </c>
      <c r="D348" s="243">
        <v>0</v>
      </c>
      <c r="E348" s="243"/>
      <c r="F348" s="243"/>
      <c r="G348" s="243"/>
      <c r="H348" s="240"/>
      <c r="I348" s="243">
        <v>0</v>
      </c>
      <c r="J348" s="243">
        <v>0</v>
      </c>
      <c r="K348" s="243"/>
      <c r="L348" s="240"/>
      <c r="M348" s="243"/>
      <c r="N348" s="243"/>
      <c r="O348" s="243"/>
    </row>
    <row r="349" spans="1:15" hidden="1" outlineLevel="1" x14ac:dyDescent="0.2">
      <c r="A349" s="366" t="s">
        <v>843</v>
      </c>
      <c r="B349" s="238"/>
      <c r="C349" s="13"/>
      <c r="D349" s="13"/>
      <c r="E349" s="13"/>
      <c r="F349" s="13"/>
      <c r="G349" s="13"/>
      <c r="H349" s="13"/>
      <c r="I349" s="13"/>
      <c r="J349" s="13"/>
      <c r="K349" s="13"/>
      <c r="L349" s="13"/>
      <c r="M349" s="13"/>
      <c r="N349" s="13"/>
      <c r="O349" s="13"/>
    </row>
    <row r="350" spans="1:15" hidden="1" outlineLevel="1" x14ac:dyDescent="0.2">
      <c r="A350" s="13"/>
      <c r="B350" s="238"/>
      <c r="C350" s="585" t="s">
        <v>1097</v>
      </c>
      <c r="D350" s="13"/>
      <c r="E350" s="13"/>
      <c r="F350" s="13"/>
      <c r="G350" s="13"/>
      <c r="H350" s="13"/>
      <c r="I350" s="13"/>
      <c r="J350" s="13"/>
      <c r="K350" s="13"/>
      <c r="L350" s="13"/>
      <c r="M350" s="13"/>
      <c r="N350" s="13"/>
      <c r="O350" s="13"/>
    </row>
    <row r="351" spans="1:15" hidden="1" outlineLevel="1" x14ac:dyDescent="0.2">
      <c r="A351" s="13"/>
      <c r="B351" s="238"/>
      <c r="C351" s="306" t="s">
        <v>1172</v>
      </c>
      <c r="D351" s="13"/>
      <c r="E351" s="13"/>
      <c r="F351" s="13"/>
      <c r="G351" s="13"/>
      <c r="H351" s="13"/>
      <c r="I351" s="13"/>
      <c r="J351" s="13"/>
      <c r="K351" s="13"/>
      <c r="L351" s="13"/>
      <c r="M351" s="13"/>
      <c r="N351" s="13"/>
      <c r="O351" s="13"/>
    </row>
    <row r="352" spans="1:15" hidden="1" outlineLevel="1" x14ac:dyDescent="0.2">
      <c r="C352" s="306" t="s">
        <v>1173</v>
      </c>
    </row>
    <row r="353" spans="1:15" hidden="1" outlineLevel="1" x14ac:dyDescent="0.2">
      <c r="C353" s="554" t="s">
        <v>846</v>
      </c>
    </row>
    <row r="354" spans="1:15" hidden="1" outlineLevel="1" x14ac:dyDescent="0.2">
      <c r="C354" s="554" t="s">
        <v>847</v>
      </c>
    </row>
    <row r="355" spans="1:15" hidden="1" outlineLevel="1" x14ac:dyDescent="0.2">
      <c r="A355" s="13"/>
      <c r="B355" s="238"/>
      <c r="C355" s="584" t="s">
        <v>1174</v>
      </c>
      <c r="D355" s="13"/>
      <c r="E355" s="13"/>
      <c r="F355" s="13"/>
      <c r="G355" s="13"/>
      <c r="H355" s="13"/>
      <c r="I355" s="13"/>
      <c r="J355" s="13"/>
      <c r="K355" s="13"/>
      <c r="L355" s="13"/>
      <c r="M355" s="13"/>
      <c r="N355" s="13"/>
      <c r="O355" s="13"/>
    </row>
    <row r="356" spans="1:15" hidden="1" outlineLevel="1" x14ac:dyDescent="0.2">
      <c r="A356" s="13"/>
      <c r="B356" s="238"/>
      <c r="C356" s="584"/>
      <c r="D356" s="13"/>
      <c r="E356" s="13"/>
      <c r="F356" s="13"/>
      <c r="G356" s="13"/>
      <c r="H356" s="13"/>
      <c r="I356" s="13"/>
      <c r="J356" s="13"/>
      <c r="K356" s="13"/>
      <c r="L356" s="13"/>
      <c r="M356" s="13"/>
      <c r="N356" s="13"/>
      <c r="O356" s="13"/>
    </row>
    <row r="357" spans="1:15" hidden="1" outlineLevel="1" x14ac:dyDescent="0.2">
      <c r="A357" s="13"/>
      <c r="B357" s="238"/>
      <c r="C357" s="584"/>
      <c r="D357" s="13"/>
      <c r="E357" s="13"/>
      <c r="F357" s="13"/>
      <c r="G357" s="13"/>
      <c r="H357" s="13"/>
      <c r="I357" s="13"/>
      <c r="J357" s="13"/>
      <c r="K357" s="13"/>
      <c r="L357" s="13"/>
      <c r="M357" s="13"/>
      <c r="N357" s="13"/>
      <c r="O357" s="13"/>
    </row>
    <row r="358" spans="1:15" collapsed="1" x14ac:dyDescent="0.2">
      <c r="D358" s="20"/>
    </row>
    <row r="359" spans="1:15" x14ac:dyDescent="0.2">
      <c r="B359" s="239"/>
      <c r="C359" s="1524" t="s">
        <v>3234</v>
      </c>
      <c r="D359" s="1525"/>
      <c r="E359" s="1525"/>
      <c r="F359" s="1525"/>
      <c r="G359" s="1525"/>
      <c r="H359" s="1525"/>
      <c r="I359" s="1525"/>
      <c r="J359" s="1525"/>
      <c r="K359" s="1525"/>
      <c r="L359" s="1525"/>
      <c r="M359" s="1525"/>
      <c r="N359" s="1526"/>
      <c r="O359" s="1525"/>
    </row>
    <row r="360" spans="1:15" collapsed="1" x14ac:dyDescent="0.2">
      <c r="A360" s="317"/>
      <c r="B360" s="238"/>
      <c r="C360" s="167" t="s">
        <v>732</v>
      </c>
      <c r="I360" s="167" t="s">
        <v>733</v>
      </c>
      <c r="M360" s="167" t="s">
        <v>734</v>
      </c>
    </row>
    <row r="361" spans="1:15" ht="33.75" x14ac:dyDescent="0.2">
      <c r="A361" s="241"/>
      <c r="B361" s="521" t="s">
        <v>736</v>
      </c>
      <c r="C361" s="307" t="s">
        <v>1200</v>
      </c>
      <c r="D361" s="307" t="s">
        <v>1267</v>
      </c>
      <c r="E361" s="307" t="s">
        <v>1199</v>
      </c>
      <c r="F361" s="308" t="s">
        <v>334</v>
      </c>
      <c r="G361" s="307" t="s">
        <v>249</v>
      </c>
      <c r="H361" s="306"/>
      <c r="I361" s="307" t="s">
        <v>1201</v>
      </c>
      <c r="L361" s="306"/>
      <c r="M361" s="304" t="s">
        <v>730</v>
      </c>
      <c r="N361" s="304" t="s">
        <v>612</v>
      </c>
      <c r="O361" s="304" t="s">
        <v>1289</v>
      </c>
    </row>
    <row r="362" spans="1:15" outlineLevel="1" x14ac:dyDescent="0.2">
      <c r="A362" s="300" t="s">
        <v>604</v>
      </c>
      <c r="B362" s="241"/>
      <c r="C362" s="416">
        <v>0.87719000000000003</v>
      </c>
      <c r="E362" s="241"/>
      <c r="F362" s="241"/>
      <c r="G362" s="241"/>
      <c r="H362" s="241"/>
      <c r="I362" s="416">
        <v>0.87719000000000003</v>
      </c>
      <c r="K362" s="241"/>
      <c r="L362" s="241"/>
      <c r="M362" s="241"/>
      <c r="N362" s="241"/>
      <c r="O362" s="241"/>
    </row>
    <row r="363" spans="1:15" outlineLevel="1" x14ac:dyDescent="0.2">
      <c r="A363" s="300" t="s">
        <v>727</v>
      </c>
      <c r="B363" s="241"/>
      <c r="C363" s="416">
        <v>-0.12280999999999997</v>
      </c>
      <c r="E363" s="241"/>
      <c r="F363" s="241"/>
      <c r="G363" s="241"/>
      <c r="H363" s="241"/>
      <c r="I363" s="416">
        <v>-0.12280999999999997</v>
      </c>
      <c r="K363" s="241"/>
      <c r="L363" s="241"/>
      <c r="M363" s="241"/>
      <c r="N363" s="241"/>
      <c r="O363" s="241"/>
    </row>
    <row r="364" spans="1:15" outlineLevel="1" x14ac:dyDescent="0.2">
      <c r="A364" s="300" t="s">
        <v>664</v>
      </c>
      <c r="B364" s="241"/>
      <c r="C364" s="301">
        <v>0.82744300000000004</v>
      </c>
      <c r="E364" s="241"/>
      <c r="F364" s="241"/>
      <c r="G364" s="241"/>
      <c r="H364" s="241"/>
      <c r="I364" s="301">
        <v>0.82744300000000004</v>
      </c>
      <c r="K364" s="241"/>
      <c r="L364" s="241"/>
      <c r="M364" s="241"/>
      <c r="N364" s="241"/>
      <c r="O364" s="241"/>
    </row>
    <row r="365" spans="1:15" outlineLevel="1" x14ac:dyDescent="0.2">
      <c r="A365" s="300" t="s">
        <v>737</v>
      </c>
      <c r="B365" s="241"/>
      <c r="C365" s="301">
        <v>-0.17255699999999996</v>
      </c>
      <c r="E365" s="241"/>
      <c r="F365" s="241"/>
      <c r="G365" s="241"/>
      <c r="H365" s="241"/>
      <c r="I365" s="301">
        <v>-0.17255699999999996</v>
      </c>
      <c r="K365" s="241"/>
      <c r="L365" s="241"/>
      <c r="M365" s="241"/>
      <c r="N365" s="241"/>
      <c r="O365" s="241"/>
    </row>
    <row r="366" spans="1:15" outlineLevel="1" x14ac:dyDescent="0.2">
      <c r="A366" s="300"/>
      <c r="B366" s="241"/>
      <c r="C366" s="301"/>
      <c r="E366" s="241"/>
      <c r="F366" s="241"/>
      <c r="G366" s="241"/>
      <c r="H366" s="241"/>
      <c r="I366" s="301"/>
      <c r="K366" s="241"/>
      <c r="L366" s="241"/>
      <c r="M366" s="241"/>
      <c r="N366" s="241"/>
      <c r="O366" s="241"/>
    </row>
    <row r="367" spans="1:15" x14ac:dyDescent="0.2">
      <c r="A367" s="245" t="s">
        <v>541</v>
      </c>
      <c r="B367" s="238"/>
      <c r="C367" s="248">
        <v>0.29799999999999999</v>
      </c>
      <c r="D367" s="248">
        <v>0.21099999999999999</v>
      </c>
      <c r="E367" s="248">
        <v>2.5999999999999999E-2</v>
      </c>
      <c r="F367" s="248" t="e">
        <f>SUM(#REF!)</f>
        <v>#REF!</v>
      </c>
      <c r="G367" s="248">
        <v>0.17</v>
      </c>
      <c r="H367" s="240"/>
      <c r="I367" s="248">
        <v>0.44900000000000001</v>
      </c>
      <c r="L367" s="240"/>
      <c r="M367" s="248">
        <v>8.4000000000000005E-2</v>
      </c>
      <c r="N367" s="248" t="e">
        <f>SUM(#REF!)</f>
        <v>#REF!</v>
      </c>
      <c r="O367" s="248">
        <v>4.2000000000000003E-2</v>
      </c>
    </row>
    <row r="368" spans="1:15" x14ac:dyDescent="0.2">
      <c r="A368" s="241"/>
      <c r="B368" s="238"/>
      <c r="C368" s="242"/>
      <c r="D368" s="242"/>
      <c r="E368" s="242"/>
      <c r="F368" s="242"/>
      <c r="G368" s="242"/>
      <c r="H368" s="240"/>
      <c r="I368" s="242"/>
      <c r="J368" s="242"/>
      <c r="K368" s="243"/>
      <c r="L368" s="240"/>
      <c r="M368" s="243"/>
      <c r="N368" s="243"/>
      <c r="O368" s="243"/>
    </row>
    <row r="369" spans="1:15" hidden="1" x14ac:dyDescent="0.2">
      <c r="A369" s="366" t="s">
        <v>741</v>
      </c>
      <c r="B369" s="238"/>
      <c r="C369" s="243">
        <v>0</v>
      </c>
      <c r="D369" s="243">
        <v>0</v>
      </c>
      <c r="E369" s="243"/>
      <c r="F369" s="243"/>
      <c r="G369" s="243"/>
      <c r="H369" s="240"/>
      <c r="I369" s="243">
        <f>C369</f>
        <v>0</v>
      </c>
      <c r="J369" s="243">
        <f>C369</f>
        <v>0</v>
      </c>
      <c r="K369" s="243"/>
      <c r="L369" s="240"/>
      <c r="M369" s="243"/>
      <c r="N369" s="243"/>
      <c r="O369" s="243"/>
    </row>
    <row r="370" spans="1:15" hidden="1" x14ac:dyDescent="0.2">
      <c r="A370" s="366" t="s">
        <v>843</v>
      </c>
      <c r="B370" s="238"/>
      <c r="C370" s="13"/>
      <c r="D370" s="13"/>
      <c r="E370" s="13"/>
      <c r="F370" s="13"/>
      <c r="G370" s="13"/>
      <c r="H370" s="13"/>
      <c r="I370" s="13"/>
      <c r="J370" s="13"/>
      <c r="K370" s="13"/>
      <c r="L370" s="13"/>
      <c r="M370" s="13"/>
      <c r="N370" s="13"/>
      <c r="O370" s="13"/>
    </row>
    <row r="371" spans="1:15" x14ac:dyDescent="0.2">
      <c r="A371" s="13"/>
      <c r="B371" s="238"/>
      <c r="C371" s="585" t="s">
        <v>1268</v>
      </c>
      <c r="D371" s="13"/>
      <c r="E371" s="13"/>
      <c r="F371" s="13"/>
      <c r="G371" s="13"/>
      <c r="H371" s="13"/>
      <c r="I371" s="13"/>
      <c r="J371" s="13"/>
      <c r="K371" s="13"/>
      <c r="L371" s="13"/>
      <c r="M371" s="13"/>
      <c r="N371" s="13"/>
      <c r="O371" s="13"/>
    </row>
    <row r="372" spans="1:15" x14ac:dyDescent="0.2">
      <c r="A372" s="13"/>
      <c r="B372" s="238"/>
      <c r="C372" s="306" t="s">
        <v>3235</v>
      </c>
      <c r="D372" s="13"/>
      <c r="E372" s="13"/>
      <c r="F372" s="13"/>
      <c r="G372" s="13"/>
      <c r="H372" s="13"/>
      <c r="I372" s="13"/>
      <c r="J372" s="13"/>
      <c r="K372" s="13"/>
      <c r="L372" s="13"/>
      <c r="M372" s="13"/>
      <c r="N372" s="13"/>
      <c r="O372" s="13"/>
    </row>
    <row r="373" spans="1:15" x14ac:dyDescent="0.2">
      <c r="C373" s="306"/>
    </row>
    <row r="374" spans="1:15" x14ac:dyDescent="0.2">
      <c r="C374" s="554"/>
    </row>
    <row r="375" spans="1:15" x14ac:dyDescent="0.2">
      <c r="C375" s="554"/>
    </row>
    <row r="376" spans="1:15" x14ac:dyDescent="0.2">
      <c r="B376" s="239"/>
      <c r="C376" s="1524" t="s">
        <v>3919</v>
      </c>
      <c r="D376" s="1525"/>
      <c r="E376" s="1525"/>
      <c r="F376" s="1525"/>
      <c r="G376" s="1525"/>
      <c r="H376" s="1525"/>
      <c r="I376" s="1525"/>
      <c r="J376" s="1525"/>
      <c r="K376" s="1525"/>
      <c r="L376" s="1525"/>
      <c r="M376" s="1525"/>
      <c r="N376" s="1526"/>
      <c r="O376" s="1525"/>
    </row>
    <row r="377" spans="1:15" x14ac:dyDescent="0.2">
      <c r="A377" s="317"/>
      <c r="B377" s="238"/>
      <c r="C377" s="167" t="s">
        <v>732</v>
      </c>
      <c r="I377" s="167" t="s">
        <v>733</v>
      </c>
      <c r="M377" s="167" t="s">
        <v>734</v>
      </c>
    </row>
    <row r="378" spans="1:15" ht="33.75" x14ac:dyDescent="0.2">
      <c r="A378" s="241"/>
      <c r="B378" s="521" t="s">
        <v>736</v>
      </c>
      <c r="C378" s="307" t="s">
        <v>1200</v>
      </c>
      <c r="D378" s="307" t="s">
        <v>1267</v>
      </c>
      <c r="E378" s="307" t="s">
        <v>1199</v>
      </c>
      <c r="F378" s="308" t="s">
        <v>334</v>
      </c>
      <c r="G378" s="307" t="s">
        <v>249</v>
      </c>
      <c r="H378" s="306"/>
      <c r="I378" s="307" t="s">
        <v>1201</v>
      </c>
      <c r="L378" s="306"/>
      <c r="M378" s="304" t="s">
        <v>730</v>
      </c>
      <c r="N378" s="304" t="s">
        <v>612</v>
      </c>
      <c r="O378" s="304" t="s">
        <v>1289</v>
      </c>
    </row>
    <row r="379" spans="1:15" x14ac:dyDescent="0.2">
      <c r="A379" s="300" t="s">
        <v>604</v>
      </c>
      <c r="B379" s="241"/>
      <c r="C379" s="416">
        <v>0.87241000000000002</v>
      </c>
      <c r="E379" s="241"/>
      <c r="F379" s="241"/>
      <c r="G379" s="241"/>
      <c r="H379" s="241"/>
      <c r="I379" s="416">
        <f>C379</f>
        <v>0.87241000000000002</v>
      </c>
      <c r="K379" s="241"/>
      <c r="L379" s="241"/>
      <c r="M379" s="241"/>
      <c r="N379" s="241"/>
      <c r="O379" s="241"/>
    </row>
    <row r="380" spans="1:15" x14ac:dyDescent="0.2">
      <c r="A380" s="300" t="s">
        <v>727</v>
      </c>
      <c r="B380" s="241"/>
      <c r="C380" s="416">
        <f>-1+C379</f>
        <v>-0.12758999999999998</v>
      </c>
      <c r="E380" s="241"/>
      <c r="F380" s="241"/>
      <c r="G380" s="241"/>
      <c r="H380" s="241"/>
      <c r="I380" s="416">
        <f>C380</f>
        <v>-0.12758999999999998</v>
      </c>
      <c r="K380" s="241"/>
      <c r="L380" s="241"/>
      <c r="M380" s="241"/>
      <c r="N380" s="241"/>
      <c r="O380" s="241"/>
    </row>
    <row r="381" spans="1:15" x14ac:dyDescent="0.2">
      <c r="A381" s="300" t="s">
        <v>664</v>
      </c>
      <c r="B381" s="241"/>
      <c r="C381" s="301">
        <v>0.82061899999999999</v>
      </c>
      <c r="E381" s="241"/>
      <c r="F381" s="241"/>
      <c r="G381" s="241"/>
      <c r="H381" s="241"/>
      <c r="I381" s="416">
        <f>C381</f>
        <v>0.82061899999999999</v>
      </c>
      <c r="K381" s="241"/>
      <c r="L381" s="241"/>
      <c r="M381" s="241"/>
      <c r="N381" s="241"/>
      <c r="O381" s="241"/>
    </row>
    <row r="382" spans="1:15" x14ac:dyDescent="0.2">
      <c r="A382" s="300" t="s">
        <v>737</v>
      </c>
      <c r="B382" s="241"/>
      <c r="C382" s="416">
        <f>-1+C381</f>
        <v>-0.17938100000000001</v>
      </c>
      <c r="E382" s="241"/>
      <c r="F382" s="241"/>
      <c r="G382" s="241"/>
      <c r="H382" s="241"/>
      <c r="I382" s="416">
        <f>C382</f>
        <v>-0.17938100000000001</v>
      </c>
      <c r="K382" s="241"/>
      <c r="L382" s="241"/>
      <c r="M382" s="241"/>
      <c r="N382" s="241"/>
      <c r="O382" s="241"/>
    </row>
    <row r="383" spans="1:15" x14ac:dyDescent="0.2">
      <c r="A383" s="300"/>
      <c r="B383" s="241"/>
      <c r="C383" s="301"/>
      <c r="E383" s="241"/>
      <c r="F383" s="241"/>
      <c r="G383" s="241"/>
      <c r="H383" s="241"/>
      <c r="I383" s="301"/>
      <c r="K383" s="241"/>
      <c r="L383" s="241"/>
      <c r="M383" s="241"/>
      <c r="N383" s="241"/>
      <c r="O383" s="241"/>
    </row>
    <row r="384" spans="1:15" x14ac:dyDescent="0.2">
      <c r="A384" s="245" t="s">
        <v>541</v>
      </c>
      <c r="B384" s="238"/>
      <c r="C384" s="248">
        <v>0.29899999999999999</v>
      </c>
      <c r="D384" s="248">
        <v>0.20899999999999999</v>
      </c>
      <c r="E384" s="248">
        <v>2.5999999999999999E-2</v>
      </c>
      <c r="F384" s="248" t="e">
        <f>SUM(#REF!)</f>
        <v>#REF!</v>
      </c>
      <c r="G384" s="248">
        <v>0.16400000000000001</v>
      </c>
      <c r="H384" s="240"/>
      <c r="I384" s="248">
        <v>0.435</v>
      </c>
      <c r="L384" s="240"/>
      <c r="M384" s="248">
        <v>9.5000000000000001E-2</v>
      </c>
      <c r="N384" s="248" t="e">
        <f>SUM(#REF!)</f>
        <v>#REF!</v>
      </c>
      <c r="O384" s="248">
        <v>4.2000000000000003E-2</v>
      </c>
    </row>
    <row r="385" spans="1:15" x14ac:dyDescent="0.2">
      <c r="A385" s="241"/>
      <c r="B385" s="238"/>
      <c r="C385" s="242"/>
      <c r="D385" s="242"/>
      <c r="E385" s="242"/>
      <c r="F385" s="242"/>
      <c r="G385" s="242"/>
      <c r="H385" s="240"/>
      <c r="I385" s="242"/>
      <c r="J385" s="242"/>
      <c r="K385" s="243"/>
      <c r="L385" s="240"/>
      <c r="M385" s="243"/>
      <c r="N385" s="243"/>
      <c r="O385" s="243"/>
    </row>
  </sheetData>
  <sheetProtection algorithmName="SHA-512" hashValue="/3I8H3oX+R05EZqkvJavObsrocusZP1ClOi7v2W+G85dVkgdqtrx8GFLC53ezM+gDF4ZK7ztOqd9skv3F9nUuQ==" saltValue="AiRKykZa3VSRSmTcoVxkOg==" spinCount="100000" sheet="1" objects="1" scenarios="1"/>
  <mergeCells count="7">
    <mergeCell ref="C376:O376"/>
    <mergeCell ref="C202:O202"/>
    <mergeCell ref="C235:O235"/>
    <mergeCell ref="C328:O328"/>
    <mergeCell ref="C359:O359"/>
    <mergeCell ref="C267:O267"/>
    <mergeCell ref="C297:O297"/>
  </mergeCells>
  <phoneticPr fontId="7" type="noConversion"/>
  <pageMargins left="0.25" right="0.25" top="0.5" bottom="0.5" header="0.5" footer="0.5"/>
  <pageSetup scale="77" orientation="landscape" r:id="rId1"/>
  <headerFooter alignWithMargins="0"/>
  <rowBreaks count="1" manualBreakCount="1">
    <brk id="233" max="14" man="1"/>
  </rowBreaks>
  <drawing r:id="rId2"/>
  <legacyDrawing r:id="rId3"/>
  <oleObjects>
    <mc:AlternateContent xmlns:mc="http://schemas.openxmlformats.org/markup-compatibility/2006">
      <mc:Choice Requires="x14">
        <oleObject progId="Acrobat Document" dvAspect="DVASPECT_ICON" shapeId="16387" r:id="rId4">
          <objectPr defaultSize="0" r:id="rId5">
            <anchor moveWithCells="1">
              <from>
                <xdr:col>53</xdr:col>
                <xdr:colOff>0</xdr:colOff>
                <xdr:row>358</xdr:row>
                <xdr:rowOff>142875</xdr:rowOff>
              </from>
              <to>
                <xdr:col>54</xdr:col>
                <xdr:colOff>285750</xdr:colOff>
                <xdr:row>361</xdr:row>
                <xdr:rowOff>142875</xdr:rowOff>
              </to>
            </anchor>
          </objectPr>
        </oleObject>
      </mc:Choice>
      <mc:Fallback>
        <oleObject progId="Acrobat Document" dvAspect="DVASPECT_ICON" shapeId="16387" r:id="rId4"/>
      </mc:Fallback>
    </mc:AlternateContent>
    <mc:AlternateContent xmlns:mc="http://schemas.openxmlformats.org/markup-compatibility/2006">
      <mc:Choice Requires="x14">
        <oleObject progId="Acrobat Document" dvAspect="DVASPECT_ICON" shapeId="16388" r:id="rId6">
          <objectPr defaultSize="0" r:id="rId7">
            <anchor moveWithCells="1">
              <from>
                <xdr:col>52</xdr:col>
                <xdr:colOff>600075</xdr:colOff>
                <xdr:row>366</xdr:row>
                <xdr:rowOff>0</xdr:rowOff>
              </from>
              <to>
                <xdr:col>54</xdr:col>
                <xdr:colOff>276225</xdr:colOff>
                <xdr:row>372</xdr:row>
                <xdr:rowOff>57150</xdr:rowOff>
              </to>
            </anchor>
          </objectPr>
        </oleObject>
      </mc:Choice>
      <mc:Fallback>
        <oleObject progId="Acrobat Document" dvAspect="DVASPECT_ICON" shapeId="16388" r:id="rId6"/>
      </mc:Fallback>
    </mc:AlternateContent>
    <mc:AlternateContent xmlns:mc="http://schemas.openxmlformats.org/markup-compatibility/2006">
      <mc:Choice Requires="x14">
        <oleObject progId="Acrobat Document" dvAspect="DVASPECT_ICON" shapeId="16389" r:id="rId8">
          <objectPr defaultSize="0" autoPict="0" r:id="rId5">
            <anchor moveWithCells="1">
              <from>
                <xdr:col>53</xdr:col>
                <xdr:colOff>0</xdr:colOff>
                <xdr:row>358</xdr:row>
                <xdr:rowOff>0</xdr:rowOff>
              </from>
              <to>
                <xdr:col>54</xdr:col>
                <xdr:colOff>304800</xdr:colOff>
                <xdr:row>360</xdr:row>
                <xdr:rowOff>323850</xdr:rowOff>
              </to>
            </anchor>
          </objectPr>
        </oleObject>
      </mc:Choice>
      <mc:Fallback>
        <oleObject progId="Acrobat Document" dvAspect="DVASPECT_ICON" shapeId="16389" r:id="rId8"/>
      </mc:Fallback>
    </mc:AlternateContent>
    <mc:AlternateContent xmlns:mc="http://schemas.openxmlformats.org/markup-compatibility/2006">
      <mc:Choice Requires="x14">
        <oleObject progId="Acrobat Document" dvAspect="DVASPECT_ICON" shapeId="16390" r:id="rId9">
          <objectPr defaultSize="0" r:id="rId7">
            <anchor moveWithCells="1">
              <from>
                <xdr:col>52</xdr:col>
                <xdr:colOff>600075</xdr:colOff>
                <xdr:row>358</xdr:row>
                <xdr:rowOff>0</xdr:rowOff>
              </from>
              <to>
                <xdr:col>54</xdr:col>
                <xdr:colOff>276225</xdr:colOff>
                <xdr:row>361</xdr:row>
                <xdr:rowOff>0</xdr:rowOff>
              </to>
            </anchor>
          </objectPr>
        </oleObject>
      </mc:Choice>
      <mc:Fallback>
        <oleObject progId="Acrobat Document" dvAspect="DVASPECT_ICON" shapeId="16390" r:id="rId9"/>
      </mc:Fallback>
    </mc:AlternateContent>
  </oleObjec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A11"/>
  <sheetViews>
    <sheetView workbookViewId="0">
      <selection activeCell="W61" sqref="W61"/>
    </sheetView>
  </sheetViews>
  <sheetFormatPr defaultRowHeight="12.75" x14ac:dyDescent="0.2"/>
  <cols>
    <col min="1" max="1" width="26.85546875" bestFit="1" customWidth="1"/>
  </cols>
  <sheetData>
    <row r="1" spans="1:1" x14ac:dyDescent="0.2">
      <c r="A1" s="167" t="s">
        <v>701</v>
      </c>
    </row>
    <row r="2" spans="1:1" x14ac:dyDescent="0.2">
      <c r="A2" s="415" t="s">
        <v>702</v>
      </c>
    </row>
    <row r="3" spans="1:1" x14ac:dyDescent="0.2">
      <c r="A3" s="415" t="s">
        <v>703</v>
      </c>
    </row>
    <row r="4" spans="1:1" x14ac:dyDescent="0.2">
      <c r="A4" s="415" t="s">
        <v>704</v>
      </c>
    </row>
    <row r="5" spans="1:1" x14ac:dyDescent="0.2">
      <c r="A5" s="415" t="s">
        <v>705</v>
      </c>
    </row>
    <row r="6" spans="1:1" x14ac:dyDescent="0.2">
      <c r="A6" s="415" t="s">
        <v>706</v>
      </c>
    </row>
    <row r="7" spans="1:1" x14ac:dyDescent="0.2">
      <c r="A7" s="415" t="s">
        <v>708</v>
      </c>
    </row>
    <row r="8" spans="1:1" x14ac:dyDescent="0.2">
      <c r="A8" s="415" t="s">
        <v>707</v>
      </c>
    </row>
    <row r="9" spans="1:1" x14ac:dyDescent="0.2">
      <c r="A9" s="415" t="s">
        <v>698</v>
      </c>
    </row>
    <row r="10" spans="1:1" x14ac:dyDescent="0.2">
      <c r="A10" s="415" t="s">
        <v>699</v>
      </c>
    </row>
    <row r="11" spans="1:1" x14ac:dyDescent="0.2">
      <c r="A11" s="415" t="s">
        <v>700</v>
      </c>
    </row>
  </sheetData>
  <sheetProtection algorithmName="SHA-512" hashValue="mXDcurpS25fQYwPMdOz/elq2gartttQliPswtx32u9auJvBQvP8zDlco/rrs2k7bj50HZGD6uabXa6yf4io72A==" saltValue="7nST+TrM0H+Pgxo/rjDzfg==" spinCount="100000" sheet="1" objects="1" scenarios="1"/>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0" tint="-0.249977111117893"/>
  </sheetPr>
  <dimension ref="A1:G386"/>
  <sheetViews>
    <sheetView workbookViewId="0">
      <pane ySplit="4" topLeftCell="A5" activePane="bottomLeft" state="frozen"/>
      <selection activeCell="K26" sqref="K26"/>
      <selection pane="bottomLeft" activeCell="K27" sqref="K27"/>
    </sheetView>
  </sheetViews>
  <sheetFormatPr defaultRowHeight="12.75" x14ac:dyDescent="0.2"/>
  <cols>
    <col min="1" max="1" width="10.140625" bestFit="1" customWidth="1"/>
    <col min="2" max="2" width="13.28515625" customWidth="1"/>
    <col min="3" max="3" width="12" hidden="1" customWidth="1"/>
    <col min="4" max="4" width="13.140625" hidden="1" customWidth="1"/>
    <col min="5" max="5" width="13.140625" customWidth="1"/>
    <col min="6" max="6" width="19.85546875" style="8" bestFit="1" customWidth="1"/>
    <col min="7" max="7" width="15.5703125" bestFit="1" customWidth="1"/>
  </cols>
  <sheetData>
    <row r="1" spans="1:6" x14ac:dyDescent="0.2">
      <c r="A1" t="s">
        <v>368</v>
      </c>
    </row>
    <row r="4" spans="1:6" x14ac:dyDescent="0.2">
      <c r="A4" t="s">
        <v>229</v>
      </c>
      <c r="B4" s="4" t="s">
        <v>230</v>
      </c>
      <c r="C4" s="5" t="s">
        <v>231</v>
      </c>
      <c r="D4" s="5" t="s">
        <v>232</v>
      </c>
      <c r="E4" s="5"/>
    </row>
    <row r="5" spans="1:6" x14ac:dyDescent="0.2">
      <c r="A5" s="6">
        <v>44013</v>
      </c>
      <c r="B5" s="7">
        <v>24</v>
      </c>
      <c r="C5" s="5">
        <v>0</v>
      </c>
      <c r="D5" s="5" t="s">
        <v>239</v>
      </c>
      <c r="E5" s="5"/>
      <c r="F5" s="472"/>
    </row>
    <row r="6" spans="1:6" x14ac:dyDescent="0.2">
      <c r="A6" s="472">
        <v>44014</v>
      </c>
      <c r="B6" s="7">
        <v>24</v>
      </c>
      <c r="C6" s="5">
        <v>10</v>
      </c>
      <c r="D6" s="5" t="s">
        <v>233</v>
      </c>
      <c r="E6" s="5"/>
      <c r="F6" s="472"/>
    </row>
    <row r="7" spans="1:6" x14ac:dyDescent="0.2">
      <c r="A7" s="472">
        <v>44015</v>
      </c>
      <c r="B7" s="7">
        <v>24</v>
      </c>
      <c r="C7" s="5">
        <v>10</v>
      </c>
      <c r="D7" s="5" t="s">
        <v>234</v>
      </c>
      <c r="E7" s="5"/>
      <c r="F7" s="472"/>
    </row>
    <row r="8" spans="1:6" x14ac:dyDescent="0.2">
      <c r="A8" s="472">
        <v>44016</v>
      </c>
      <c r="B8" s="7">
        <v>23.9</v>
      </c>
      <c r="C8" s="5">
        <v>10</v>
      </c>
      <c r="D8" s="5" t="s">
        <v>235</v>
      </c>
      <c r="E8" s="5"/>
      <c r="F8" s="472"/>
    </row>
    <row r="9" spans="1:6" x14ac:dyDescent="0.2">
      <c r="A9" s="472">
        <v>44017</v>
      </c>
      <c r="B9" s="7">
        <v>23.8</v>
      </c>
      <c r="C9" s="5">
        <v>10</v>
      </c>
      <c r="D9" s="5" t="s">
        <v>236</v>
      </c>
      <c r="E9" s="5"/>
      <c r="F9" s="472"/>
    </row>
    <row r="10" spans="1:6" x14ac:dyDescent="0.2">
      <c r="A10" s="472">
        <v>44018</v>
      </c>
      <c r="B10" s="7">
        <v>23.7</v>
      </c>
      <c r="C10" s="5">
        <v>10</v>
      </c>
      <c r="D10" s="5" t="s">
        <v>237</v>
      </c>
      <c r="E10" s="5"/>
      <c r="F10" s="472"/>
    </row>
    <row r="11" spans="1:6" x14ac:dyDescent="0.2">
      <c r="A11" s="472">
        <v>44019</v>
      </c>
      <c r="B11" s="7">
        <v>23.6</v>
      </c>
      <c r="C11" s="5">
        <v>10</v>
      </c>
      <c r="D11" s="5" t="s">
        <v>238</v>
      </c>
      <c r="E11" s="5"/>
      <c r="F11" s="472"/>
    </row>
    <row r="12" spans="1:6" x14ac:dyDescent="0.2">
      <c r="A12" s="472">
        <v>44020</v>
      </c>
      <c r="B12" s="7">
        <v>23.5</v>
      </c>
      <c r="C12" s="5">
        <v>10</v>
      </c>
      <c r="D12" s="5" t="s">
        <v>239</v>
      </c>
      <c r="E12" s="5"/>
      <c r="F12" s="472"/>
    </row>
    <row r="13" spans="1:6" x14ac:dyDescent="0.2">
      <c r="A13" s="472">
        <v>44021</v>
      </c>
      <c r="B13" s="7">
        <v>23.5</v>
      </c>
      <c r="C13" s="5">
        <v>10</v>
      </c>
      <c r="D13" s="5" t="s">
        <v>235</v>
      </c>
      <c r="E13" s="5"/>
      <c r="F13" s="472"/>
    </row>
    <row r="14" spans="1:6" x14ac:dyDescent="0.2">
      <c r="A14" s="472">
        <v>44022</v>
      </c>
      <c r="B14" s="7">
        <v>23.5</v>
      </c>
      <c r="C14" s="5">
        <v>10</v>
      </c>
      <c r="D14" s="5" t="s">
        <v>236</v>
      </c>
      <c r="E14" s="5"/>
      <c r="F14" s="472"/>
    </row>
    <row r="15" spans="1:6" x14ac:dyDescent="0.2">
      <c r="A15" s="472">
        <v>44023</v>
      </c>
      <c r="B15" s="7">
        <v>23.4</v>
      </c>
      <c r="C15" s="5">
        <v>10</v>
      </c>
      <c r="D15" s="5" t="s">
        <v>237</v>
      </c>
      <c r="E15" s="5"/>
      <c r="F15" s="472"/>
    </row>
    <row r="16" spans="1:6" x14ac:dyDescent="0.2">
      <c r="A16" s="472">
        <v>44024</v>
      </c>
      <c r="B16" s="7">
        <v>23.3</v>
      </c>
      <c r="C16" s="5">
        <v>10</v>
      </c>
      <c r="D16" s="5" t="s">
        <v>238</v>
      </c>
      <c r="E16" s="5"/>
      <c r="F16" s="472"/>
    </row>
    <row r="17" spans="1:6" x14ac:dyDescent="0.2">
      <c r="A17" s="472">
        <v>44025</v>
      </c>
      <c r="B17" s="7">
        <v>23.2</v>
      </c>
      <c r="C17" s="5">
        <v>10</v>
      </c>
      <c r="D17" s="5" t="s">
        <v>239</v>
      </c>
      <c r="E17" s="5"/>
      <c r="F17" s="472"/>
    </row>
    <row r="18" spans="1:6" x14ac:dyDescent="0.2">
      <c r="A18" s="472">
        <v>44026</v>
      </c>
      <c r="B18" s="7">
        <v>23.1</v>
      </c>
      <c r="C18" s="5">
        <v>10</v>
      </c>
      <c r="D18" s="5" t="s">
        <v>233</v>
      </c>
      <c r="E18" s="5"/>
      <c r="F18" s="472"/>
    </row>
    <row r="19" spans="1:6" x14ac:dyDescent="0.2">
      <c r="A19" s="472">
        <v>44027</v>
      </c>
      <c r="B19" s="7">
        <v>23</v>
      </c>
      <c r="C19" s="5">
        <v>10</v>
      </c>
      <c r="D19" s="5" t="s">
        <v>234</v>
      </c>
      <c r="E19" s="5"/>
      <c r="F19" s="472"/>
    </row>
    <row r="20" spans="1:6" x14ac:dyDescent="0.2">
      <c r="A20" s="472">
        <v>44028</v>
      </c>
      <c r="B20" s="7">
        <v>23</v>
      </c>
      <c r="C20" s="5">
        <v>0</v>
      </c>
      <c r="D20" s="5" t="s">
        <v>235</v>
      </c>
      <c r="E20" s="5"/>
      <c r="F20" s="472"/>
    </row>
    <row r="21" spans="1:6" x14ac:dyDescent="0.2">
      <c r="A21" s="472">
        <v>44029</v>
      </c>
      <c r="B21" s="7">
        <v>23</v>
      </c>
      <c r="C21" s="5">
        <v>11</v>
      </c>
      <c r="D21" s="5" t="s">
        <v>236</v>
      </c>
      <c r="E21" s="5"/>
      <c r="F21" s="472"/>
    </row>
    <row r="22" spans="1:6" x14ac:dyDescent="0.2">
      <c r="A22" s="472">
        <v>44030</v>
      </c>
      <c r="B22" s="7">
        <v>22.909090909090899</v>
      </c>
      <c r="C22" s="5">
        <v>11</v>
      </c>
      <c r="D22" s="5" t="s">
        <v>237</v>
      </c>
      <c r="E22" s="5"/>
      <c r="F22" s="472"/>
    </row>
    <row r="23" spans="1:6" x14ac:dyDescent="0.2">
      <c r="A23" s="472">
        <v>44031</v>
      </c>
      <c r="B23" s="7">
        <v>22.818181818181799</v>
      </c>
      <c r="C23" s="5">
        <v>11</v>
      </c>
      <c r="D23" s="5" t="s">
        <v>238</v>
      </c>
      <c r="E23" s="5"/>
      <c r="F23" s="472"/>
    </row>
    <row r="24" spans="1:6" x14ac:dyDescent="0.2">
      <c r="A24" s="472">
        <v>44032</v>
      </c>
      <c r="B24" s="7">
        <v>22.727272727272702</v>
      </c>
      <c r="C24" s="5">
        <v>11</v>
      </c>
      <c r="D24" s="5" t="s">
        <v>239</v>
      </c>
      <c r="E24" s="5"/>
      <c r="F24" s="472"/>
    </row>
    <row r="25" spans="1:6" x14ac:dyDescent="0.2">
      <c r="A25" s="472">
        <v>44033</v>
      </c>
      <c r="B25" s="7">
        <v>22.636363636363601</v>
      </c>
      <c r="C25" s="5">
        <v>11</v>
      </c>
      <c r="D25" s="5" t="s">
        <v>233</v>
      </c>
      <c r="E25" s="5"/>
      <c r="F25" s="472"/>
    </row>
    <row r="26" spans="1:6" x14ac:dyDescent="0.2">
      <c r="A26" s="472">
        <v>44034</v>
      </c>
      <c r="B26" s="7">
        <v>22.545454545454</v>
      </c>
      <c r="C26" s="5">
        <v>11</v>
      </c>
      <c r="D26" s="5" t="s">
        <v>234</v>
      </c>
      <c r="E26" s="5"/>
      <c r="F26" s="472"/>
    </row>
    <row r="27" spans="1:6" x14ac:dyDescent="0.2">
      <c r="A27" s="472">
        <v>44035</v>
      </c>
      <c r="B27" s="7">
        <v>22.454545454544999</v>
      </c>
      <c r="C27" s="5">
        <v>11</v>
      </c>
      <c r="D27" s="5" t="s">
        <v>235</v>
      </c>
      <c r="E27" s="5"/>
      <c r="F27" s="472"/>
    </row>
    <row r="28" spans="1:6" x14ac:dyDescent="0.2">
      <c r="A28" s="472">
        <v>44036</v>
      </c>
      <c r="B28" s="7">
        <v>22.454545454544999</v>
      </c>
      <c r="C28" s="5">
        <v>11</v>
      </c>
      <c r="D28" s="5" t="s">
        <v>236</v>
      </c>
      <c r="E28" s="5"/>
      <c r="F28" s="472"/>
    </row>
    <row r="29" spans="1:6" x14ac:dyDescent="0.2">
      <c r="A29" s="472">
        <v>44037</v>
      </c>
      <c r="B29" s="7">
        <v>22.454545454544999</v>
      </c>
      <c r="C29" s="5">
        <v>11</v>
      </c>
      <c r="D29" s="5" t="s">
        <v>237</v>
      </c>
      <c r="E29" s="5"/>
      <c r="F29" s="472"/>
    </row>
    <row r="30" spans="1:6" x14ac:dyDescent="0.2">
      <c r="A30" s="472">
        <v>44038</v>
      </c>
      <c r="B30" s="7">
        <v>22.363636363636001</v>
      </c>
      <c r="C30" s="5">
        <v>11</v>
      </c>
      <c r="D30" s="5" t="s">
        <v>238</v>
      </c>
      <c r="E30" s="5"/>
      <c r="F30" s="472"/>
    </row>
    <row r="31" spans="1:6" x14ac:dyDescent="0.2">
      <c r="A31" s="472">
        <v>44039</v>
      </c>
      <c r="B31" s="7">
        <v>22.272727272727</v>
      </c>
      <c r="C31" s="5">
        <v>11</v>
      </c>
      <c r="D31" s="5" t="s">
        <v>239</v>
      </c>
      <c r="E31" s="5"/>
      <c r="F31" s="472"/>
    </row>
    <row r="32" spans="1:6" x14ac:dyDescent="0.2">
      <c r="A32" s="472">
        <v>44040</v>
      </c>
      <c r="B32" s="7">
        <v>22.181818181817999</v>
      </c>
      <c r="C32" s="5">
        <v>11</v>
      </c>
      <c r="D32" s="5" t="s">
        <v>233</v>
      </c>
      <c r="E32" s="5"/>
      <c r="F32" s="472"/>
    </row>
    <row r="33" spans="1:6" x14ac:dyDescent="0.2">
      <c r="A33" s="472">
        <v>44041</v>
      </c>
      <c r="B33" s="7">
        <v>22.090909090899999</v>
      </c>
      <c r="C33" s="5">
        <v>11</v>
      </c>
      <c r="D33" s="5" t="s">
        <v>234</v>
      </c>
      <c r="E33" s="5"/>
      <c r="F33" s="472"/>
    </row>
    <row r="34" spans="1:6" x14ac:dyDescent="0.2">
      <c r="A34" s="472">
        <v>44042</v>
      </c>
      <c r="B34" s="7">
        <v>22.090909090899999</v>
      </c>
      <c r="C34" s="5">
        <v>11</v>
      </c>
      <c r="D34" s="5" t="s">
        <v>235</v>
      </c>
      <c r="E34" s="5"/>
      <c r="F34" s="472"/>
    </row>
    <row r="35" spans="1:6" x14ac:dyDescent="0.2">
      <c r="A35" s="472">
        <v>44043</v>
      </c>
      <c r="B35" s="7">
        <v>22.090909090899999</v>
      </c>
      <c r="C35" s="5">
        <v>11</v>
      </c>
      <c r="D35" s="5" t="s">
        <v>236</v>
      </c>
      <c r="E35" s="5"/>
      <c r="F35" s="472"/>
    </row>
    <row r="36" spans="1:6" x14ac:dyDescent="0.2">
      <c r="A36" s="472">
        <v>44044</v>
      </c>
      <c r="B36" s="7">
        <v>22</v>
      </c>
      <c r="C36" s="5">
        <v>0</v>
      </c>
      <c r="D36" s="5" t="s">
        <v>237</v>
      </c>
      <c r="E36" s="5"/>
      <c r="F36" s="472"/>
    </row>
    <row r="37" spans="1:6" x14ac:dyDescent="0.2">
      <c r="A37" s="472">
        <v>44045</v>
      </c>
      <c r="B37" s="7">
        <v>21.909090909090899</v>
      </c>
      <c r="C37" s="5">
        <v>11</v>
      </c>
      <c r="D37" s="5" t="s">
        <v>238</v>
      </c>
      <c r="E37" s="5"/>
      <c r="F37" s="472"/>
    </row>
    <row r="38" spans="1:6" x14ac:dyDescent="0.2">
      <c r="A38" s="472">
        <v>44046</v>
      </c>
      <c r="B38" s="7">
        <v>21.818181818181799</v>
      </c>
      <c r="C38" s="5">
        <v>11</v>
      </c>
      <c r="D38" s="5" t="s">
        <v>239</v>
      </c>
      <c r="E38" s="5"/>
      <c r="F38" s="472"/>
    </row>
    <row r="39" spans="1:6" x14ac:dyDescent="0.2">
      <c r="A39" s="472">
        <v>44047</v>
      </c>
      <c r="B39" s="7">
        <v>21.727272727272702</v>
      </c>
      <c r="C39" s="5">
        <v>11</v>
      </c>
      <c r="D39" s="5" t="s">
        <v>233</v>
      </c>
      <c r="E39" s="5"/>
      <c r="F39" s="472"/>
    </row>
    <row r="40" spans="1:6" x14ac:dyDescent="0.2">
      <c r="A40" s="472">
        <v>44048</v>
      </c>
      <c r="B40" s="7">
        <v>21.636363636363601</v>
      </c>
      <c r="C40" s="5">
        <v>11</v>
      </c>
      <c r="D40" s="5" t="s">
        <v>234</v>
      </c>
      <c r="E40" s="5"/>
      <c r="F40" s="472"/>
    </row>
    <row r="41" spans="1:6" x14ac:dyDescent="0.2">
      <c r="A41" s="472">
        <v>44049</v>
      </c>
      <c r="B41" s="7">
        <v>21.636363636363601</v>
      </c>
      <c r="C41" s="5">
        <v>11</v>
      </c>
      <c r="D41" s="5" t="s">
        <v>235</v>
      </c>
      <c r="E41" s="5"/>
      <c r="F41" s="472"/>
    </row>
    <row r="42" spans="1:6" x14ac:dyDescent="0.2">
      <c r="A42" s="472">
        <v>44050</v>
      </c>
      <c r="B42" s="7">
        <v>21.636363636363601</v>
      </c>
      <c r="C42" s="5">
        <v>11</v>
      </c>
      <c r="D42" s="5" t="s">
        <v>236</v>
      </c>
      <c r="E42" s="5"/>
      <c r="F42" s="472"/>
    </row>
    <row r="43" spans="1:6" x14ac:dyDescent="0.2">
      <c r="A43" s="472">
        <v>44051</v>
      </c>
      <c r="B43" s="7">
        <v>21.545454545454</v>
      </c>
      <c r="C43" s="5">
        <v>11</v>
      </c>
      <c r="D43" s="5" t="s">
        <v>237</v>
      </c>
      <c r="E43" s="5"/>
      <c r="F43" s="472"/>
    </row>
    <row r="44" spans="1:6" x14ac:dyDescent="0.2">
      <c r="A44" s="472">
        <v>44052</v>
      </c>
      <c r="B44" s="7">
        <v>21.454545454544999</v>
      </c>
      <c r="C44" s="5">
        <v>11</v>
      </c>
      <c r="D44" s="5" t="s">
        <v>238</v>
      </c>
      <c r="E44" s="5"/>
      <c r="F44" s="472"/>
    </row>
    <row r="45" spans="1:6" x14ac:dyDescent="0.2">
      <c r="A45" s="472">
        <v>44053</v>
      </c>
      <c r="B45" s="7">
        <v>21.363636363636001</v>
      </c>
      <c r="C45" s="5">
        <v>11</v>
      </c>
      <c r="D45" s="5" t="s">
        <v>239</v>
      </c>
      <c r="E45" s="5"/>
      <c r="F45" s="472"/>
    </row>
    <row r="46" spans="1:6" x14ac:dyDescent="0.2">
      <c r="A46" s="472">
        <v>44054</v>
      </c>
      <c r="B46" s="7">
        <v>21.272727272727</v>
      </c>
      <c r="C46" s="5">
        <v>11</v>
      </c>
      <c r="D46" s="5" t="s">
        <v>233</v>
      </c>
      <c r="E46" s="5"/>
      <c r="F46" s="472"/>
    </row>
    <row r="47" spans="1:6" x14ac:dyDescent="0.2">
      <c r="A47" s="472">
        <v>44055</v>
      </c>
      <c r="B47" s="7">
        <v>21.181818181817999</v>
      </c>
      <c r="C47" s="5">
        <v>11</v>
      </c>
      <c r="D47" s="5" t="s">
        <v>234</v>
      </c>
      <c r="E47" s="5"/>
      <c r="F47" s="472"/>
    </row>
    <row r="48" spans="1:6" x14ac:dyDescent="0.2">
      <c r="A48" s="472">
        <v>44056</v>
      </c>
      <c r="B48" s="7">
        <v>21.181818181817999</v>
      </c>
      <c r="C48" s="5">
        <v>11</v>
      </c>
      <c r="D48" s="5" t="s">
        <v>235</v>
      </c>
      <c r="E48" s="5"/>
      <c r="F48" s="472"/>
    </row>
    <row r="49" spans="1:7" x14ac:dyDescent="0.2">
      <c r="A49" s="472">
        <v>44057</v>
      </c>
      <c r="B49" s="7">
        <v>21.181818181817999</v>
      </c>
      <c r="C49" s="5">
        <v>11</v>
      </c>
      <c r="D49" s="5" t="s">
        <v>236</v>
      </c>
      <c r="E49" s="5"/>
      <c r="F49" s="472"/>
    </row>
    <row r="50" spans="1:7" x14ac:dyDescent="0.2">
      <c r="A50" s="472">
        <v>44058</v>
      </c>
      <c r="B50" s="7">
        <v>21.090909090899999</v>
      </c>
      <c r="C50" s="5">
        <v>11</v>
      </c>
      <c r="D50" s="5" t="s">
        <v>237</v>
      </c>
      <c r="E50" s="5"/>
      <c r="F50" s="472"/>
    </row>
    <row r="51" spans="1:7" x14ac:dyDescent="0.2">
      <c r="A51" s="472">
        <v>44059</v>
      </c>
      <c r="B51" s="7">
        <v>21</v>
      </c>
      <c r="C51" s="5">
        <v>0</v>
      </c>
      <c r="D51" s="5" t="s">
        <v>238</v>
      </c>
      <c r="E51" s="5"/>
      <c r="F51" s="472"/>
      <c r="G51" s="8"/>
    </row>
    <row r="52" spans="1:7" x14ac:dyDescent="0.2">
      <c r="A52" s="472">
        <v>44060</v>
      </c>
      <c r="B52" s="7">
        <v>20.9166666666667</v>
      </c>
      <c r="C52" s="5">
        <v>12</v>
      </c>
      <c r="D52" s="5" t="s">
        <v>239</v>
      </c>
      <c r="E52" s="5"/>
      <c r="F52" s="472"/>
      <c r="G52" s="8"/>
    </row>
    <row r="53" spans="1:7" x14ac:dyDescent="0.2">
      <c r="A53" s="472">
        <v>44061</v>
      </c>
      <c r="B53" s="7">
        <v>20.8333333333333</v>
      </c>
      <c r="C53" s="5">
        <v>12</v>
      </c>
      <c r="D53" s="5" t="s">
        <v>233</v>
      </c>
      <c r="E53" s="5"/>
      <c r="F53" s="472"/>
    </row>
    <row r="54" spans="1:7" x14ac:dyDescent="0.2">
      <c r="A54" s="472">
        <v>44062</v>
      </c>
      <c r="B54" s="7">
        <v>20.75</v>
      </c>
      <c r="C54" s="5">
        <v>12</v>
      </c>
      <c r="D54" s="5" t="s">
        <v>234</v>
      </c>
      <c r="E54" s="5"/>
      <c r="F54" s="472"/>
    </row>
    <row r="55" spans="1:7" x14ac:dyDescent="0.2">
      <c r="A55" s="472">
        <v>44063</v>
      </c>
      <c r="B55" s="7">
        <v>20.75</v>
      </c>
      <c r="C55" s="5">
        <v>12</v>
      </c>
      <c r="D55" s="5" t="s">
        <v>235</v>
      </c>
      <c r="E55" s="5"/>
      <c r="F55" s="472"/>
    </row>
    <row r="56" spans="1:7" x14ac:dyDescent="0.2">
      <c r="A56" s="472">
        <v>44064</v>
      </c>
      <c r="B56" s="7">
        <v>20.75</v>
      </c>
      <c r="C56" s="5">
        <v>12</v>
      </c>
      <c r="D56" s="5" t="s">
        <v>236</v>
      </c>
      <c r="E56" s="5"/>
      <c r="F56" s="472"/>
    </row>
    <row r="57" spans="1:7" x14ac:dyDescent="0.2">
      <c r="A57" s="472">
        <v>44065</v>
      </c>
      <c r="B57" s="7">
        <v>20.6666666666667</v>
      </c>
      <c r="C57" s="5">
        <v>12</v>
      </c>
      <c r="D57" s="5" t="s">
        <v>237</v>
      </c>
      <c r="E57" s="5"/>
      <c r="F57" s="472"/>
    </row>
    <row r="58" spans="1:7" x14ac:dyDescent="0.2">
      <c r="A58" s="472">
        <v>44066</v>
      </c>
      <c r="B58" s="7">
        <v>20.5833333333333</v>
      </c>
      <c r="C58" s="5">
        <v>12</v>
      </c>
      <c r="D58" s="5" t="s">
        <v>238</v>
      </c>
      <c r="E58" s="5"/>
      <c r="F58" s="472"/>
    </row>
    <row r="59" spans="1:7" x14ac:dyDescent="0.2">
      <c r="A59" s="472">
        <v>44067</v>
      </c>
      <c r="B59" s="7">
        <v>20.5</v>
      </c>
      <c r="C59" s="5">
        <v>12</v>
      </c>
      <c r="D59" s="5" t="s">
        <v>239</v>
      </c>
      <c r="E59" s="5"/>
      <c r="F59" s="472"/>
    </row>
    <row r="60" spans="1:7" x14ac:dyDescent="0.2">
      <c r="A60" s="472">
        <v>44068</v>
      </c>
      <c r="B60" s="7">
        <v>20.4166666666667</v>
      </c>
      <c r="C60" s="5">
        <v>12</v>
      </c>
      <c r="D60" s="5" t="s">
        <v>233</v>
      </c>
      <c r="E60" s="5"/>
      <c r="F60" s="472"/>
    </row>
    <row r="61" spans="1:7" x14ac:dyDescent="0.2">
      <c r="A61" s="472">
        <v>44069</v>
      </c>
      <c r="B61" s="7">
        <v>20.3333333333333</v>
      </c>
      <c r="C61" s="5">
        <v>12</v>
      </c>
      <c r="D61" s="5" t="s">
        <v>234</v>
      </c>
      <c r="E61" s="5"/>
      <c r="F61" s="472"/>
    </row>
    <row r="62" spans="1:7" x14ac:dyDescent="0.2">
      <c r="A62" s="472">
        <v>44070</v>
      </c>
      <c r="B62" s="7">
        <v>20.3333333333333</v>
      </c>
      <c r="C62" s="5">
        <v>12</v>
      </c>
      <c r="D62" s="5" t="s">
        <v>235</v>
      </c>
      <c r="E62" s="5"/>
      <c r="F62" s="472"/>
    </row>
    <row r="63" spans="1:7" x14ac:dyDescent="0.2">
      <c r="A63" s="472">
        <v>44071</v>
      </c>
      <c r="B63" s="7">
        <v>20.3333333333333</v>
      </c>
      <c r="C63" s="5">
        <v>12</v>
      </c>
      <c r="D63" s="5" t="s">
        <v>236</v>
      </c>
      <c r="E63" s="5"/>
      <c r="F63" s="472"/>
    </row>
    <row r="64" spans="1:7" x14ac:dyDescent="0.2">
      <c r="A64" s="472">
        <v>44072</v>
      </c>
      <c r="B64" s="7">
        <v>20.25</v>
      </c>
      <c r="C64" s="5">
        <v>12</v>
      </c>
      <c r="D64" s="5" t="s">
        <v>237</v>
      </c>
      <c r="E64" s="5"/>
      <c r="F64" s="472"/>
    </row>
    <row r="65" spans="1:6" x14ac:dyDescent="0.2">
      <c r="A65" s="472">
        <v>44073</v>
      </c>
      <c r="B65" s="7">
        <v>20.1666666666667</v>
      </c>
      <c r="C65" s="5">
        <v>12</v>
      </c>
      <c r="D65" s="5" t="s">
        <v>238</v>
      </c>
      <c r="E65" s="5"/>
      <c r="F65" s="472"/>
    </row>
    <row r="66" spans="1:6" x14ac:dyDescent="0.2">
      <c r="A66" s="472">
        <v>44074</v>
      </c>
      <c r="B66" s="7">
        <v>20.0833333333333</v>
      </c>
      <c r="C66" s="5">
        <v>12</v>
      </c>
      <c r="D66" s="5" t="s">
        <v>239</v>
      </c>
      <c r="E66" s="5"/>
      <c r="F66" s="472"/>
    </row>
    <row r="67" spans="1:6" x14ac:dyDescent="0.2">
      <c r="A67" s="472">
        <v>44075</v>
      </c>
      <c r="B67" s="7">
        <v>20</v>
      </c>
      <c r="C67" s="5">
        <v>0</v>
      </c>
      <c r="D67" s="5" t="s">
        <v>233</v>
      </c>
      <c r="E67" s="5"/>
      <c r="F67" s="472"/>
    </row>
    <row r="68" spans="1:6" x14ac:dyDescent="0.2">
      <c r="A68" s="472">
        <v>44076</v>
      </c>
      <c r="B68" s="7">
        <v>19.909090909090899</v>
      </c>
      <c r="C68" s="5">
        <v>11</v>
      </c>
      <c r="D68" s="5" t="s">
        <v>234</v>
      </c>
      <c r="E68" s="5"/>
      <c r="F68" s="472"/>
    </row>
    <row r="69" spans="1:6" x14ac:dyDescent="0.2">
      <c r="A69" s="472">
        <v>44077</v>
      </c>
      <c r="B69" s="7">
        <v>19.909090909090899</v>
      </c>
      <c r="C69" s="5">
        <v>11</v>
      </c>
      <c r="D69" s="5" t="s">
        <v>235</v>
      </c>
      <c r="E69" s="5"/>
      <c r="F69" s="472"/>
    </row>
    <row r="70" spans="1:6" x14ac:dyDescent="0.2">
      <c r="A70" s="472">
        <v>44078</v>
      </c>
      <c r="B70" s="7">
        <v>19.909090909090899</v>
      </c>
      <c r="C70" s="5">
        <v>11</v>
      </c>
      <c r="D70" s="5" t="s">
        <v>236</v>
      </c>
      <c r="E70" s="5"/>
      <c r="F70" s="472"/>
    </row>
    <row r="71" spans="1:6" x14ac:dyDescent="0.2">
      <c r="A71" s="472">
        <v>44079</v>
      </c>
      <c r="B71" s="7">
        <v>19.818181818181799</v>
      </c>
      <c r="C71" s="5">
        <v>11</v>
      </c>
      <c r="D71" s="5" t="s">
        <v>237</v>
      </c>
      <c r="E71" s="5"/>
      <c r="F71" s="472"/>
    </row>
    <row r="72" spans="1:6" x14ac:dyDescent="0.2">
      <c r="A72" s="472">
        <v>44080</v>
      </c>
      <c r="B72" s="7">
        <v>19.727272727272702</v>
      </c>
      <c r="C72" s="5">
        <v>11</v>
      </c>
      <c r="D72" s="5" t="s">
        <v>238</v>
      </c>
      <c r="E72" s="5"/>
      <c r="F72" s="472"/>
    </row>
    <row r="73" spans="1:6" x14ac:dyDescent="0.2">
      <c r="A73" s="472">
        <v>44081</v>
      </c>
      <c r="B73" s="7">
        <v>19.636363636363601</v>
      </c>
      <c r="C73" s="5">
        <v>11</v>
      </c>
      <c r="D73" s="5" t="s">
        <v>239</v>
      </c>
      <c r="E73" s="5"/>
      <c r="F73" s="472"/>
    </row>
    <row r="74" spans="1:6" x14ac:dyDescent="0.2">
      <c r="A74" s="472">
        <v>44082</v>
      </c>
      <c r="B74" s="7">
        <v>19.5454545454546</v>
      </c>
      <c r="C74" s="5">
        <v>11</v>
      </c>
      <c r="D74" s="5" t="s">
        <v>233</v>
      </c>
      <c r="E74" s="5"/>
      <c r="F74" s="472"/>
    </row>
    <row r="75" spans="1:6" x14ac:dyDescent="0.2">
      <c r="A75" s="472">
        <v>44083</v>
      </c>
      <c r="B75" s="7">
        <v>19.454545454545499</v>
      </c>
      <c r="C75" s="5">
        <v>11</v>
      </c>
      <c r="D75" s="5" t="s">
        <v>234</v>
      </c>
      <c r="E75" s="5"/>
      <c r="F75" s="472"/>
    </row>
    <row r="76" spans="1:6" x14ac:dyDescent="0.2">
      <c r="A76" s="472">
        <v>44084</v>
      </c>
      <c r="B76" s="7">
        <v>19.454545454545499</v>
      </c>
      <c r="C76" s="5">
        <v>11</v>
      </c>
      <c r="D76" s="5" t="s">
        <v>235</v>
      </c>
      <c r="E76" s="5"/>
      <c r="F76" s="472"/>
    </row>
    <row r="77" spans="1:6" x14ac:dyDescent="0.2">
      <c r="A77" s="472">
        <v>44085</v>
      </c>
      <c r="B77" s="7">
        <v>19.454545454545499</v>
      </c>
      <c r="C77" s="5">
        <v>11</v>
      </c>
      <c r="D77" s="5" t="s">
        <v>236</v>
      </c>
      <c r="E77" s="5"/>
      <c r="F77" s="472"/>
    </row>
    <row r="78" spans="1:6" x14ac:dyDescent="0.2">
      <c r="A78" s="472">
        <v>44086</v>
      </c>
      <c r="B78" s="7">
        <v>19.363636363636399</v>
      </c>
      <c r="C78" s="5">
        <v>11</v>
      </c>
      <c r="D78" s="5" t="s">
        <v>237</v>
      </c>
      <c r="E78" s="5"/>
      <c r="F78" s="472"/>
    </row>
    <row r="79" spans="1:6" x14ac:dyDescent="0.2">
      <c r="A79" s="472">
        <v>44087</v>
      </c>
      <c r="B79" s="7">
        <v>19.272727272727298</v>
      </c>
      <c r="C79" s="5">
        <v>11</v>
      </c>
      <c r="D79" s="5" t="s">
        <v>238</v>
      </c>
      <c r="E79" s="5"/>
      <c r="F79" s="472"/>
    </row>
    <row r="80" spans="1:6" x14ac:dyDescent="0.2">
      <c r="A80" s="472">
        <v>44088</v>
      </c>
      <c r="B80" s="7">
        <v>19.181818181818201</v>
      </c>
      <c r="C80" s="5">
        <v>11</v>
      </c>
      <c r="D80" s="5" t="s">
        <v>239</v>
      </c>
      <c r="E80" s="5"/>
      <c r="F80" s="472"/>
    </row>
    <row r="81" spans="1:6" x14ac:dyDescent="0.2">
      <c r="A81" s="472">
        <v>44089</v>
      </c>
      <c r="B81" s="7">
        <v>19.090909090909101</v>
      </c>
      <c r="C81" s="5">
        <v>11</v>
      </c>
      <c r="D81" s="5" t="s">
        <v>233</v>
      </c>
      <c r="E81" s="5"/>
      <c r="F81" s="472"/>
    </row>
    <row r="82" spans="1:6" x14ac:dyDescent="0.2">
      <c r="A82" s="472">
        <v>44090</v>
      </c>
      <c r="B82" s="7">
        <v>19</v>
      </c>
      <c r="C82" s="5">
        <v>0</v>
      </c>
      <c r="D82" s="5" t="s">
        <v>234</v>
      </c>
      <c r="E82" s="5"/>
      <c r="F82" s="472"/>
    </row>
    <row r="83" spans="1:6" x14ac:dyDescent="0.2">
      <c r="A83" s="472">
        <v>44091</v>
      </c>
      <c r="B83" s="7">
        <v>19</v>
      </c>
      <c r="C83" s="5">
        <v>11</v>
      </c>
      <c r="D83" s="5" t="s">
        <v>235</v>
      </c>
      <c r="E83" s="5"/>
      <c r="F83" s="472"/>
    </row>
    <row r="84" spans="1:6" x14ac:dyDescent="0.2">
      <c r="A84" s="472">
        <v>44092</v>
      </c>
      <c r="B84" s="7">
        <v>19</v>
      </c>
      <c r="C84" s="5">
        <v>11</v>
      </c>
      <c r="D84" s="5" t="s">
        <v>236</v>
      </c>
      <c r="E84" s="5"/>
      <c r="F84" s="472"/>
    </row>
    <row r="85" spans="1:6" x14ac:dyDescent="0.2">
      <c r="A85" s="472">
        <v>44093</v>
      </c>
      <c r="B85" s="7">
        <v>18.899999999999999</v>
      </c>
      <c r="C85" s="5">
        <v>11</v>
      </c>
      <c r="D85" s="5" t="s">
        <v>237</v>
      </c>
      <c r="E85" s="5"/>
      <c r="F85" s="472"/>
    </row>
    <row r="86" spans="1:6" x14ac:dyDescent="0.2">
      <c r="A86" s="472">
        <v>44094</v>
      </c>
      <c r="B86" s="7">
        <v>18.8</v>
      </c>
      <c r="C86" s="5">
        <v>11</v>
      </c>
      <c r="D86" s="5" t="s">
        <v>238</v>
      </c>
      <c r="E86" s="5"/>
      <c r="F86" s="472"/>
    </row>
    <row r="87" spans="1:6" x14ac:dyDescent="0.2">
      <c r="A87" s="472">
        <v>44095</v>
      </c>
      <c r="B87" s="7">
        <v>18.7</v>
      </c>
      <c r="C87" s="5">
        <v>11</v>
      </c>
      <c r="D87" s="5" t="s">
        <v>239</v>
      </c>
      <c r="E87" s="5"/>
      <c r="F87" s="472"/>
    </row>
    <row r="88" spans="1:6" x14ac:dyDescent="0.2">
      <c r="A88" s="472">
        <v>44096</v>
      </c>
      <c r="B88" s="7">
        <v>18.600000000000001</v>
      </c>
      <c r="C88" s="5">
        <v>11</v>
      </c>
      <c r="D88" s="5" t="s">
        <v>233</v>
      </c>
      <c r="E88" s="5"/>
      <c r="F88" s="472"/>
    </row>
    <row r="89" spans="1:6" x14ac:dyDescent="0.2">
      <c r="A89" s="472">
        <v>44097</v>
      </c>
      <c r="B89" s="7">
        <v>18.5</v>
      </c>
      <c r="C89" s="5">
        <v>11</v>
      </c>
      <c r="D89" s="5" t="s">
        <v>234</v>
      </c>
      <c r="E89" s="5"/>
      <c r="F89" s="472"/>
    </row>
    <row r="90" spans="1:6" x14ac:dyDescent="0.2">
      <c r="A90" s="472">
        <v>44098</v>
      </c>
      <c r="B90" s="7">
        <v>18.5</v>
      </c>
      <c r="C90" s="5">
        <v>11</v>
      </c>
      <c r="D90" s="5" t="s">
        <v>235</v>
      </c>
      <c r="E90" s="5"/>
      <c r="F90" s="472"/>
    </row>
    <row r="91" spans="1:6" x14ac:dyDescent="0.2">
      <c r="A91" s="472">
        <v>44099</v>
      </c>
      <c r="B91" s="7">
        <v>18.5</v>
      </c>
      <c r="C91" s="5">
        <v>11</v>
      </c>
      <c r="D91" s="5" t="s">
        <v>236</v>
      </c>
      <c r="E91" s="5"/>
      <c r="F91" s="472"/>
    </row>
    <row r="92" spans="1:6" x14ac:dyDescent="0.2">
      <c r="A92" s="472">
        <v>44100</v>
      </c>
      <c r="B92" s="7">
        <v>18.399999999999999</v>
      </c>
      <c r="C92" s="5">
        <v>11</v>
      </c>
      <c r="D92" s="5" t="s">
        <v>237</v>
      </c>
      <c r="E92" s="5"/>
      <c r="F92" s="472"/>
    </row>
    <row r="93" spans="1:6" x14ac:dyDescent="0.2">
      <c r="A93" s="472">
        <v>44101</v>
      </c>
      <c r="B93" s="7">
        <v>18.3</v>
      </c>
      <c r="C93" s="5">
        <v>11</v>
      </c>
      <c r="D93" s="5" t="s">
        <v>238</v>
      </c>
      <c r="E93" s="5"/>
      <c r="F93" s="472"/>
    </row>
    <row r="94" spans="1:6" x14ac:dyDescent="0.2">
      <c r="A94" s="472">
        <v>44102</v>
      </c>
      <c r="B94" s="7">
        <v>18.2</v>
      </c>
      <c r="C94" s="5">
        <v>11</v>
      </c>
      <c r="D94" s="5" t="s">
        <v>239</v>
      </c>
      <c r="E94" s="5"/>
      <c r="F94" s="472"/>
    </row>
    <row r="95" spans="1:6" x14ac:dyDescent="0.2">
      <c r="A95" s="472">
        <v>44103</v>
      </c>
      <c r="B95" s="7">
        <v>18.100000000000001</v>
      </c>
      <c r="C95" s="5">
        <v>11</v>
      </c>
      <c r="D95" s="5" t="s">
        <v>233</v>
      </c>
      <c r="E95" s="5"/>
      <c r="F95" s="472"/>
    </row>
    <row r="96" spans="1:6" x14ac:dyDescent="0.2">
      <c r="A96" s="472">
        <v>44104</v>
      </c>
      <c r="B96" s="7">
        <v>18</v>
      </c>
      <c r="C96" s="5">
        <v>11</v>
      </c>
      <c r="D96" s="5" t="s">
        <v>234</v>
      </c>
      <c r="E96" s="5"/>
      <c r="F96" s="472"/>
    </row>
    <row r="97" spans="1:7" x14ac:dyDescent="0.2">
      <c r="A97" s="472">
        <v>44105</v>
      </c>
      <c r="B97" s="7">
        <v>18</v>
      </c>
      <c r="C97" s="5">
        <v>0</v>
      </c>
      <c r="D97" s="5" t="s">
        <v>235</v>
      </c>
      <c r="E97" s="5"/>
      <c r="F97" s="472"/>
    </row>
    <row r="98" spans="1:7" x14ac:dyDescent="0.2">
      <c r="A98" s="472">
        <v>44106</v>
      </c>
      <c r="B98" s="7">
        <v>18</v>
      </c>
      <c r="C98" s="5">
        <v>10</v>
      </c>
      <c r="D98" s="5" t="s">
        <v>236</v>
      </c>
      <c r="E98" s="5"/>
      <c r="F98" s="472"/>
    </row>
    <row r="99" spans="1:7" x14ac:dyDescent="0.2">
      <c r="A99" s="472">
        <v>44107</v>
      </c>
      <c r="B99" s="7">
        <v>17.899999999999999</v>
      </c>
      <c r="C99" s="5">
        <v>10</v>
      </c>
      <c r="D99" s="5" t="s">
        <v>237</v>
      </c>
      <c r="E99" s="5"/>
      <c r="F99" s="472"/>
    </row>
    <row r="100" spans="1:7" x14ac:dyDescent="0.2">
      <c r="A100" s="472">
        <v>44108</v>
      </c>
      <c r="B100" s="7">
        <v>17.8</v>
      </c>
      <c r="C100" s="5">
        <v>10</v>
      </c>
      <c r="D100" s="5" t="s">
        <v>238</v>
      </c>
      <c r="E100" s="5"/>
      <c r="F100" s="472"/>
    </row>
    <row r="101" spans="1:7" x14ac:dyDescent="0.2">
      <c r="A101" s="472">
        <v>44109</v>
      </c>
      <c r="B101" s="7">
        <v>17.7</v>
      </c>
      <c r="C101" s="5">
        <v>10</v>
      </c>
      <c r="D101" s="5" t="s">
        <v>239</v>
      </c>
      <c r="E101" s="5"/>
      <c r="F101" s="472"/>
    </row>
    <row r="102" spans="1:7" x14ac:dyDescent="0.2">
      <c r="A102" s="472">
        <v>44110</v>
      </c>
      <c r="B102" s="7">
        <v>17.600000000000001</v>
      </c>
      <c r="C102" s="5">
        <v>10</v>
      </c>
      <c r="D102" s="5" t="s">
        <v>233</v>
      </c>
      <c r="E102" s="5"/>
      <c r="F102" s="472"/>
    </row>
    <row r="103" spans="1:7" x14ac:dyDescent="0.2">
      <c r="A103" s="472">
        <v>44111</v>
      </c>
      <c r="B103" s="7">
        <v>17.5</v>
      </c>
      <c r="C103" s="5">
        <v>10</v>
      </c>
      <c r="D103" s="5" t="s">
        <v>234</v>
      </c>
      <c r="E103" s="5"/>
      <c r="F103" s="472"/>
    </row>
    <row r="104" spans="1:7" x14ac:dyDescent="0.2">
      <c r="A104" s="472">
        <v>44112</v>
      </c>
      <c r="B104" s="7">
        <v>17.5</v>
      </c>
      <c r="C104" s="5">
        <v>10</v>
      </c>
      <c r="D104" s="5" t="s">
        <v>235</v>
      </c>
      <c r="E104" s="5"/>
      <c r="F104" s="472"/>
    </row>
    <row r="105" spans="1:7" x14ac:dyDescent="0.2">
      <c r="A105" s="472">
        <v>44113</v>
      </c>
      <c r="B105" s="7">
        <v>17.5</v>
      </c>
      <c r="C105" s="5">
        <v>10</v>
      </c>
      <c r="D105" s="5" t="s">
        <v>236</v>
      </c>
      <c r="E105" s="5"/>
      <c r="F105" s="472"/>
    </row>
    <row r="106" spans="1:7" x14ac:dyDescent="0.2">
      <c r="A106" s="472">
        <v>44114</v>
      </c>
      <c r="B106" s="7">
        <v>17.399999999999999</v>
      </c>
      <c r="C106" s="5">
        <v>10</v>
      </c>
      <c r="D106" s="5" t="s">
        <v>237</v>
      </c>
      <c r="E106" s="5"/>
      <c r="F106" s="472"/>
    </row>
    <row r="107" spans="1:7" x14ac:dyDescent="0.2">
      <c r="A107" s="472">
        <v>44115</v>
      </c>
      <c r="B107" s="7">
        <v>17.3</v>
      </c>
      <c r="C107" s="5">
        <v>10</v>
      </c>
      <c r="D107" s="5" t="s">
        <v>238</v>
      </c>
      <c r="E107" s="5"/>
      <c r="F107" s="472"/>
    </row>
    <row r="108" spans="1:7" x14ac:dyDescent="0.2">
      <c r="A108" s="472">
        <v>44116</v>
      </c>
      <c r="B108" s="7">
        <v>17.2</v>
      </c>
      <c r="C108" s="5">
        <v>10</v>
      </c>
      <c r="D108" s="5" t="s">
        <v>239</v>
      </c>
      <c r="E108" s="5"/>
      <c r="F108" s="472"/>
    </row>
    <row r="109" spans="1:7" x14ac:dyDescent="0.2">
      <c r="A109" s="472">
        <v>44117</v>
      </c>
      <c r="B109" s="7">
        <v>17.100000000000001</v>
      </c>
      <c r="C109" s="5">
        <v>10</v>
      </c>
      <c r="D109" s="5" t="s">
        <v>233</v>
      </c>
      <c r="E109" s="5"/>
      <c r="F109" s="472"/>
    </row>
    <row r="110" spans="1:7" x14ac:dyDescent="0.2">
      <c r="A110" s="472">
        <v>44118</v>
      </c>
      <c r="B110" s="7">
        <v>17</v>
      </c>
      <c r="C110" s="5">
        <v>10</v>
      </c>
      <c r="D110" s="5" t="s">
        <v>234</v>
      </c>
      <c r="E110" s="5"/>
      <c r="F110" s="472"/>
    </row>
    <row r="111" spans="1:7" x14ac:dyDescent="0.2">
      <c r="A111" s="472">
        <v>44119</v>
      </c>
      <c r="B111" s="7">
        <v>17</v>
      </c>
      <c r="C111" s="5">
        <v>10</v>
      </c>
      <c r="D111" s="5" t="s">
        <v>235</v>
      </c>
      <c r="E111" s="5"/>
      <c r="F111" s="472"/>
    </row>
    <row r="112" spans="1:7" x14ac:dyDescent="0.2">
      <c r="A112" s="472">
        <v>44120</v>
      </c>
      <c r="B112" s="7">
        <v>17</v>
      </c>
      <c r="C112" s="5">
        <v>0</v>
      </c>
      <c r="D112" s="5" t="s">
        <v>236</v>
      </c>
      <c r="E112" s="5"/>
      <c r="F112" s="472"/>
      <c r="G112" s="8"/>
    </row>
    <row r="113" spans="1:7" x14ac:dyDescent="0.2">
      <c r="A113" s="472">
        <v>44121</v>
      </c>
      <c r="B113" s="7">
        <v>16.9166666666667</v>
      </c>
      <c r="C113" s="5">
        <v>12</v>
      </c>
      <c r="D113" s="5" t="s">
        <v>237</v>
      </c>
      <c r="E113" s="5"/>
      <c r="F113" s="472"/>
      <c r="G113" s="8"/>
    </row>
    <row r="114" spans="1:7" x14ac:dyDescent="0.2">
      <c r="A114" s="472">
        <v>44122</v>
      </c>
      <c r="B114" s="7">
        <v>16.8333333333333</v>
      </c>
      <c r="C114" s="5">
        <v>12</v>
      </c>
      <c r="D114" s="5" t="s">
        <v>238</v>
      </c>
      <c r="E114" s="5"/>
      <c r="F114" s="472"/>
      <c r="G114" s="8"/>
    </row>
    <row r="115" spans="1:7" x14ac:dyDescent="0.2">
      <c r="A115" s="472">
        <v>44123</v>
      </c>
      <c r="B115" s="7">
        <v>16.75</v>
      </c>
      <c r="C115" s="5">
        <v>12</v>
      </c>
      <c r="D115" s="5" t="s">
        <v>239</v>
      </c>
      <c r="E115" s="5"/>
      <c r="F115" s="472"/>
      <c r="G115" s="8"/>
    </row>
    <row r="116" spans="1:7" x14ac:dyDescent="0.2">
      <c r="A116" s="472">
        <v>44124</v>
      </c>
      <c r="B116" s="7">
        <v>16.6666666666667</v>
      </c>
      <c r="C116" s="5">
        <v>12</v>
      </c>
      <c r="D116" s="5" t="s">
        <v>233</v>
      </c>
      <c r="E116" s="5"/>
      <c r="F116" s="472"/>
      <c r="G116" s="8"/>
    </row>
    <row r="117" spans="1:7" x14ac:dyDescent="0.2">
      <c r="A117" s="472">
        <v>44125</v>
      </c>
      <c r="B117" s="7">
        <v>16.5833333333333</v>
      </c>
      <c r="C117" s="5">
        <v>12</v>
      </c>
      <c r="D117" s="5" t="s">
        <v>234</v>
      </c>
      <c r="E117" s="5"/>
      <c r="F117" s="472"/>
      <c r="G117" s="8"/>
    </row>
    <row r="118" spans="1:7" x14ac:dyDescent="0.2">
      <c r="A118" s="472">
        <v>44126</v>
      </c>
      <c r="B118" s="7">
        <v>16.5833333333333</v>
      </c>
      <c r="C118" s="5">
        <v>12</v>
      </c>
      <c r="D118" s="5" t="s">
        <v>235</v>
      </c>
      <c r="E118" s="5"/>
      <c r="F118" s="472"/>
      <c r="G118" s="8"/>
    </row>
    <row r="119" spans="1:7" x14ac:dyDescent="0.2">
      <c r="A119" s="472">
        <v>44127</v>
      </c>
      <c r="B119" s="7">
        <v>16.5833333333333</v>
      </c>
      <c r="C119" s="5">
        <v>12</v>
      </c>
      <c r="D119" s="5" t="s">
        <v>236</v>
      </c>
      <c r="E119" s="5"/>
      <c r="F119" s="472"/>
      <c r="G119" s="8"/>
    </row>
    <row r="120" spans="1:7" x14ac:dyDescent="0.2">
      <c r="A120" s="472">
        <v>44128</v>
      </c>
      <c r="B120" s="7">
        <v>16.5</v>
      </c>
      <c r="C120" s="5">
        <v>12</v>
      </c>
      <c r="D120" s="5" t="s">
        <v>237</v>
      </c>
      <c r="E120" s="5"/>
      <c r="F120" s="472"/>
      <c r="G120" s="8"/>
    </row>
    <row r="121" spans="1:7" x14ac:dyDescent="0.2">
      <c r="A121" s="472">
        <v>44129</v>
      </c>
      <c r="B121" s="7">
        <v>16.4166666666667</v>
      </c>
      <c r="C121" s="5">
        <v>12</v>
      </c>
      <c r="D121" s="5" t="s">
        <v>238</v>
      </c>
      <c r="E121" s="5"/>
      <c r="F121" s="472"/>
      <c r="G121" s="8"/>
    </row>
    <row r="122" spans="1:7" x14ac:dyDescent="0.2">
      <c r="A122" s="472">
        <v>44130</v>
      </c>
      <c r="B122" s="7">
        <v>16.3333333333333</v>
      </c>
      <c r="C122" s="5">
        <v>12</v>
      </c>
      <c r="D122" s="5" t="s">
        <v>239</v>
      </c>
      <c r="E122" s="5"/>
      <c r="F122" s="472"/>
      <c r="G122" s="8"/>
    </row>
    <row r="123" spans="1:7" x14ac:dyDescent="0.2">
      <c r="A123" s="472">
        <v>44131</v>
      </c>
      <c r="B123" s="7">
        <v>16.25</v>
      </c>
      <c r="C123" s="5">
        <v>12</v>
      </c>
      <c r="D123" s="5" t="s">
        <v>233</v>
      </c>
      <c r="E123" s="5"/>
      <c r="F123" s="472"/>
      <c r="G123" s="8"/>
    </row>
    <row r="124" spans="1:7" x14ac:dyDescent="0.2">
      <c r="A124" s="472">
        <v>44132</v>
      </c>
      <c r="B124" s="7">
        <v>16.1666666666667</v>
      </c>
      <c r="C124" s="5">
        <v>12</v>
      </c>
      <c r="D124" s="5" t="s">
        <v>234</v>
      </c>
      <c r="E124" s="5"/>
      <c r="F124" s="472"/>
      <c r="G124" s="8"/>
    </row>
    <row r="125" spans="1:7" x14ac:dyDescent="0.2">
      <c r="A125" s="472">
        <v>44133</v>
      </c>
      <c r="B125" s="7">
        <v>16.1666666666667</v>
      </c>
      <c r="C125" s="5">
        <v>12</v>
      </c>
      <c r="D125" s="5" t="s">
        <v>235</v>
      </c>
      <c r="E125" s="5"/>
      <c r="F125" s="472"/>
      <c r="G125" s="8"/>
    </row>
    <row r="126" spans="1:7" x14ac:dyDescent="0.2">
      <c r="A126" s="472">
        <v>44134</v>
      </c>
      <c r="B126" s="7">
        <v>16.1666666666667</v>
      </c>
      <c r="C126" s="5">
        <v>12</v>
      </c>
      <c r="D126" s="5" t="s">
        <v>236</v>
      </c>
      <c r="E126" s="5"/>
      <c r="F126" s="472"/>
      <c r="G126" s="8"/>
    </row>
    <row r="127" spans="1:7" x14ac:dyDescent="0.2">
      <c r="A127" s="472">
        <v>44135</v>
      </c>
      <c r="B127" s="7">
        <v>16.0833333333333</v>
      </c>
      <c r="C127" s="5">
        <v>12</v>
      </c>
      <c r="D127" s="5" t="s">
        <v>237</v>
      </c>
      <c r="E127" s="5"/>
      <c r="F127" s="472"/>
      <c r="G127" s="8"/>
    </row>
    <row r="128" spans="1:7" x14ac:dyDescent="0.2">
      <c r="A128" s="472">
        <v>44136</v>
      </c>
      <c r="B128" s="7">
        <v>16</v>
      </c>
      <c r="C128" s="5">
        <v>0</v>
      </c>
      <c r="D128" s="5" t="s">
        <v>238</v>
      </c>
      <c r="E128" s="5"/>
      <c r="F128" s="472"/>
    </row>
    <row r="129" spans="1:6" x14ac:dyDescent="0.2">
      <c r="A129" s="472">
        <v>44137</v>
      </c>
      <c r="B129" s="7">
        <v>15.909090909090899</v>
      </c>
      <c r="C129" s="5">
        <v>11</v>
      </c>
      <c r="D129" s="5" t="s">
        <v>239</v>
      </c>
      <c r="E129" s="5"/>
      <c r="F129" s="472"/>
    </row>
    <row r="130" spans="1:6" x14ac:dyDescent="0.2">
      <c r="A130" s="472">
        <v>44138</v>
      </c>
      <c r="B130" s="7">
        <v>15.818181818181801</v>
      </c>
      <c r="C130" s="5">
        <v>11</v>
      </c>
      <c r="D130" s="5" t="s">
        <v>233</v>
      </c>
      <c r="E130" s="5"/>
      <c r="F130" s="472"/>
    </row>
    <row r="131" spans="1:6" x14ac:dyDescent="0.2">
      <c r="A131" s="472">
        <v>44139</v>
      </c>
      <c r="B131" s="7">
        <v>15.7272727272727</v>
      </c>
      <c r="C131" s="5">
        <v>11</v>
      </c>
      <c r="D131" s="5" t="s">
        <v>234</v>
      </c>
      <c r="E131" s="5"/>
      <c r="F131" s="472"/>
    </row>
    <row r="132" spans="1:6" x14ac:dyDescent="0.2">
      <c r="A132" s="472">
        <v>44140</v>
      </c>
      <c r="B132" s="7">
        <v>15.7272727272727</v>
      </c>
      <c r="C132" s="5">
        <v>11</v>
      </c>
      <c r="D132" s="5" t="s">
        <v>235</v>
      </c>
      <c r="E132" s="5"/>
      <c r="F132" s="472"/>
    </row>
    <row r="133" spans="1:6" x14ac:dyDescent="0.2">
      <c r="A133" s="472">
        <v>44141</v>
      </c>
      <c r="B133" s="7">
        <v>15.7272727272727</v>
      </c>
      <c r="C133" s="5">
        <v>11</v>
      </c>
      <c r="D133" s="5" t="s">
        <v>236</v>
      </c>
      <c r="E133" s="5"/>
      <c r="F133" s="472"/>
    </row>
    <row r="134" spans="1:6" x14ac:dyDescent="0.2">
      <c r="A134" s="472">
        <v>44142</v>
      </c>
      <c r="B134" s="7">
        <v>15.636363636363599</v>
      </c>
      <c r="C134" s="5">
        <v>11</v>
      </c>
      <c r="D134" s="5" t="s">
        <v>237</v>
      </c>
      <c r="E134" s="5"/>
      <c r="F134" s="472"/>
    </row>
    <row r="135" spans="1:6" x14ac:dyDescent="0.2">
      <c r="A135" s="472">
        <v>44143</v>
      </c>
      <c r="B135" s="7">
        <v>15.5454545454546</v>
      </c>
      <c r="C135" s="5">
        <v>11</v>
      </c>
      <c r="D135" s="5" t="s">
        <v>238</v>
      </c>
      <c r="E135" s="5"/>
      <c r="F135" s="472"/>
    </row>
    <row r="136" spans="1:6" x14ac:dyDescent="0.2">
      <c r="A136" s="472">
        <v>44144</v>
      </c>
      <c r="B136" s="7">
        <v>15.454545454545499</v>
      </c>
      <c r="C136" s="5">
        <v>11</v>
      </c>
      <c r="D136" s="5" t="s">
        <v>239</v>
      </c>
      <c r="E136" s="5"/>
      <c r="F136" s="472"/>
    </row>
    <row r="137" spans="1:6" x14ac:dyDescent="0.2">
      <c r="A137" s="472">
        <v>44145</v>
      </c>
      <c r="B137" s="7">
        <v>15.363636363636401</v>
      </c>
      <c r="C137" s="5">
        <v>11</v>
      </c>
      <c r="D137" s="5" t="s">
        <v>233</v>
      </c>
      <c r="E137" s="5"/>
      <c r="F137" s="472"/>
    </row>
    <row r="138" spans="1:6" x14ac:dyDescent="0.2">
      <c r="A138" s="472">
        <v>44146</v>
      </c>
      <c r="B138" s="7">
        <v>15.2727272727273</v>
      </c>
      <c r="C138" s="5">
        <v>11</v>
      </c>
      <c r="D138" s="5" t="s">
        <v>234</v>
      </c>
      <c r="E138" s="5"/>
      <c r="F138" s="472"/>
    </row>
    <row r="139" spans="1:6" x14ac:dyDescent="0.2">
      <c r="A139" s="472">
        <v>44147</v>
      </c>
      <c r="B139" s="7">
        <v>15.2727272727273</v>
      </c>
      <c r="C139" s="5">
        <v>11</v>
      </c>
      <c r="D139" s="5" t="s">
        <v>235</v>
      </c>
      <c r="E139" s="5"/>
      <c r="F139" s="472"/>
    </row>
    <row r="140" spans="1:6" x14ac:dyDescent="0.2">
      <c r="A140" s="472">
        <v>44148</v>
      </c>
      <c r="B140" s="7">
        <v>15.2727272727273</v>
      </c>
      <c r="C140" s="5">
        <v>11</v>
      </c>
      <c r="D140" s="5" t="s">
        <v>236</v>
      </c>
      <c r="E140" s="5"/>
      <c r="F140" s="472"/>
    </row>
    <row r="141" spans="1:6" x14ac:dyDescent="0.2">
      <c r="A141" s="472">
        <v>44149</v>
      </c>
      <c r="B141" s="7">
        <v>15.181818181818199</v>
      </c>
      <c r="C141" s="5">
        <v>11</v>
      </c>
      <c r="D141" s="5" t="s">
        <v>237</v>
      </c>
      <c r="E141" s="5"/>
      <c r="F141" s="472"/>
    </row>
    <row r="142" spans="1:6" x14ac:dyDescent="0.2">
      <c r="A142" s="472">
        <v>44150</v>
      </c>
      <c r="B142" s="7">
        <v>15.090909090909101</v>
      </c>
      <c r="C142" s="5">
        <v>11</v>
      </c>
      <c r="D142" s="5" t="s">
        <v>238</v>
      </c>
      <c r="E142" s="5"/>
      <c r="F142" s="472"/>
    </row>
    <row r="143" spans="1:6" x14ac:dyDescent="0.2">
      <c r="A143" s="472">
        <v>44151</v>
      </c>
      <c r="B143" s="7">
        <v>15</v>
      </c>
      <c r="C143" s="5">
        <v>0</v>
      </c>
      <c r="D143" s="5" t="s">
        <v>239</v>
      </c>
      <c r="E143" s="5"/>
      <c r="F143" s="472"/>
    </row>
    <row r="144" spans="1:6" x14ac:dyDescent="0.2">
      <c r="A144" s="472">
        <v>44152</v>
      </c>
      <c r="B144" s="7">
        <v>14.909090909090899</v>
      </c>
      <c r="C144" s="5">
        <v>11</v>
      </c>
      <c r="D144" s="5" t="s">
        <v>233</v>
      </c>
      <c r="E144" s="5"/>
      <c r="F144" s="472"/>
    </row>
    <row r="145" spans="1:6" x14ac:dyDescent="0.2">
      <c r="A145" s="472">
        <v>44153</v>
      </c>
      <c r="B145" s="7">
        <v>14.818181818181801</v>
      </c>
      <c r="C145" s="5">
        <v>11</v>
      </c>
      <c r="D145" s="5" t="s">
        <v>234</v>
      </c>
      <c r="E145" s="5"/>
      <c r="F145" s="472"/>
    </row>
    <row r="146" spans="1:6" x14ac:dyDescent="0.2">
      <c r="A146" s="472">
        <v>44154</v>
      </c>
      <c r="B146" s="7">
        <v>14.818181818181801</v>
      </c>
      <c r="C146" s="5">
        <v>11</v>
      </c>
      <c r="D146" s="5" t="s">
        <v>235</v>
      </c>
      <c r="E146" s="5"/>
      <c r="F146" s="472"/>
    </row>
    <row r="147" spans="1:6" x14ac:dyDescent="0.2">
      <c r="A147" s="472">
        <v>44155</v>
      </c>
      <c r="B147" s="7">
        <v>14.818181818181801</v>
      </c>
      <c r="C147" s="5">
        <v>11</v>
      </c>
      <c r="D147" s="5" t="s">
        <v>236</v>
      </c>
      <c r="E147" s="5"/>
      <c r="F147" s="472"/>
    </row>
    <row r="148" spans="1:6" x14ac:dyDescent="0.2">
      <c r="A148" s="472">
        <v>44156</v>
      </c>
      <c r="B148" s="7">
        <v>14.7272727272727</v>
      </c>
      <c r="C148" s="5">
        <v>11</v>
      </c>
      <c r="D148" s="5" t="s">
        <v>237</v>
      </c>
      <c r="E148" s="5"/>
      <c r="F148" s="472"/>
    </row>
    <row r="149" spans="1:6" x14ac:dyDescent="0.2">
      <c r="A149" s="472">
        <v>44157</v>
      </c>
      <c r="B149" s="7">
        <v>14.636363636363599</v>
      </c>
      <c r="C149" s="5">
        <v>11</v>
      </c>
      <c r="D149" s="5" t="s">
        <v>238</v>
      </c>
      <c r="E149" s="5"/>
      <c r="F149" s="472"/>
    </row>
    <row r="150" spans="1:6" x14ac:dyDescent="0.2">
      <c r="A150" s="472">
        <v>44158</v>
      </c>
      <c r="B150" s="7">
        <v>14.5454545454546</v>
      </c>
      <c r="C150" s="5">
        <v>11</v>
      </c>
      <c r="D150" s="5" t="s">
        <v>239</v>
      </c>
      <c r="E150" s="5"/>
      <c r="F150" s="472"/>
    </row>
    <row r="151" spans="1:6" x14ac:dyDescent="0.2">
      <c r="A151" s="472">
        <v>44159</v>
      </c>
      <c r="B151" s="7">
        <v>14.454545454545499</v>
      </c>
      <c r="C151" s="5">
        <v>11</v>
      </c>
      <c r="D151" s="5" t="s">
        <v>233</v>
      </c>
      <c r="E151" s="5"/>
      <c r="F151" s="472"/>
    </row>
    <row r="152" spans="1:6" x14ac:dyDescent="0.2">
      <c r="A152" s="472">
        <v>44160</v>
      </c>
      <c r="B152" s="7">
        <v>14.363636363636401</v>
      </c>
      <c r="C152" s="5">
        <v>11</v>
      </c>
      <c r="D152" s="5" t="s">
        <v>234</v>
      </c>
      <c r="E152" s="5"/>
      <c r="F152" s="472"/>
    </row>
    <row r="153" spans="1:6" x14ac:dyDescent="0.2">
      <c r="A153" s="472">
        <v>44161</v>
      </c>
      <c r="B153" s="7">
        <v>14.363636363636401</v>
      </c>
      <c r="C153" s="5">
        <v>11</v>
      </c>
      <c r="D153" s="5" t="s">
        <v>235</v>
      </c>
      <c r="E153" s="5"/>
      <c r="F153" s="472"/>
    </row>
    <row r="154" spans="1:6" x14ac:dyDescent="0.2">
      <c r="A154" s="472">
        <v>44162</v>
      </c>
      <c r="B154" s="7">
        <v>14.363636363636401</v>
      </c>
      <c r="C154" s="5">
        <v>11</v>
      </c>
      <c r="D154" s="5" t="s">
        <v>236</v>
      </c>
      <c r="E154" s="5"/>
      <c r="F154" s="472"/>
    </row>
    <row r="155" spans="1:6" x14ac:dyDescent="0.2">
      <c r="A155" s="472">
        <v>44163</v>
      </c>
      <c r="B155" s="7">
        <v>14.2727272727273</v>
      </c>
      <c r="C155" s="5">
        <v>11</v>
      </c>
      <c r="D155" s="5" t="s">
        <v>237</v>
      </c>
      <c r="E155" s="5"/>
      <c r="F155" s="472"/>
    </row>
    <row r="156" spans="1:6" x14ac:dyDescent="0.2">
      <c r="A156" s="472">
        <v>44164</v>
      </c>
      <c r="B156" s="7">
        <v>14.181818181818199</v>
      </c>
      <c r="C156" s="5">
        <v>11</v>
      </c>
      <c r="D156" s="5" t="s">
        <v>238</v>
      </c>
      <c r="E156" s="5"/>
      <c r="F156" s="472"/>
    </row>
    <row r="157" spans="1:6" x14ac:dyDescent="0.2">
      <c r="A157" s="472">
        <v>44165</v>
      </c>
      <c r="B157" s="7">
        <v>14.090909090909101</v>
      </c>
      <c r="C157" s="5">
        <v>11</v>
      </c>
      <c r="D157" s="5" t="s">
        <v>239</v>
      </c>
      <c r="E157" s="5"/>
      <c r="F157" s="472"/>
    </row>
    <row r="158" spans="1:6" x14ac:dyDescent="0.2">
      <c r="A158" s="472">
        <v>44166</v>
      </c>
      <c r="B158" s="7">
        <v>14</v>
      </c>
      <c r="C158" s="5">
        <v>0</v>
      </c>
      <c r="D158" s="5" t="s">
        <v>233</v>
      </c>
      <c r="E158" s="5"/>
      <c r="F158" s="472"/>
    </row>
    <row r="159" spans="1:6" x14ac:dyDescent="0.2">
      <c r="A159" s="472">
        <v>44167</v>
      </c>
      <c r="B159" s="7">
        <v>13.909090909090899</v>
      </c>
      <c r="C159" s="5">
        <v>11</v>
      </c>
      <c r="D159" s="5" t="s">
        <v>234</v>
      </c>
      <c r="E159" s="5"/>
      <c r="F159" s="472"/>
    </row>
    <row r="160" spans="1:6" x14ac:dyDescent="0.2">
      <c r="A160" s="472">
        <v>44168</v>
      </c>
      <c r="B160" s="7">
        <v>13.909090909090899</v>
      </c>
      <c r="C160" s="5">
        <v>11</v>
      </c>
      <c r="D160" s="5" t="s">
        <v>235</v>
      </c>
      <c r="E160" s="5"/>
      <c r="F160" s="472"/>
    </row>
    <row r="161" spans="1:6" x14ac:dyDescent="0.2">
      <c r="A161" s="472">
        <v>44169</v>
      </c>
      <c r="B161" s="7">
        <v>13.909090909090899</v>
      </c>
      <c r="C161" s="5">
        <v>11</v>
      </c>
      <c r="D161" s="5" t="s">
        <v>236</v>
      </c>
      <c r="E161" s="5"/>
      <c r="F161" s="472"/>
    </row>
    <row r="162" spans="1:6" x14ac:dyDescent="0.2">
      <c r="A162" s="472">
        <v>44170</v>
      </c>
      <c r="B162" s="7">
        <v>13.818181818180999</v>
      </c>
      <c r="C162" s="5">
        <v>11</v>
      </c>
      <c r="D162" s="5" t="s">
        <v>237</v>
      </c>
      <c r="E162" s="5"/>
      <c r="F162" s="472"/>
    </row>
    <row r="163" spans="1:6" x14ac:dyDescent="0.2">
      <c r="A163" s="472">
        <v>44171</v>
      </c>
      <c r="B163" s="7">
        <v>13.7272727272727</v>
      </c>
      <c r="C163" s="5">
        <v>11</v>
      </c>
      <c r="D163" s="5" t="s">
        <v>238</v>
      </c>
      <c r="E163" s="5"/>
      <c r="F163" s="472"/>
    </row>
    <row r="164" spans="1:6" x14ac:dyDescent="0.2">
      <c r="A164" s="472">
        <v>44172</v>
      </c>
      <c r="B164" s="7">
        <v>13.636363636363599</v>
      </c>
      <c r="C164" s="5">
        <v>11</v>
      </c>
      <c r="D164" s="5" t="s">
        <v>239</v>
      </c>
      <c r="E164" s="5"/>
      <c r="F164" s="472"/>
    </row>
    <row r="165" spans="1:6" x14ac:dyDescent="0.2">
      <c r="A165" s="472">
        <v>44173</v>
      </c>
      <c r="B165" s="7">
        <v>13.5454545454546</v>
      </c>
      <c r="C165" s="5">
        <v>11</v>
      </c>
      <c r="D165" s="5" t="s">
        <v>233</v>
      </c>
      <c r="E165" s="5"/>
      <c r="F165" s="472"/>
    </row>
    <row r="166" spans="1:6" x14ac:dyDescent="0.2">
      <c r="A166" s="472">
        <v>44174</v>
      </c>
      <c r="B166" s="7">
        <v>13.454545454545499</v>
      </c>
      <c r="C166" s="5">
        <v>11</v>
      </c>
      <c r="D166" s="5" t="s">
        <v>234</v>
      </c>
      <c r="E166" s="5"/>
      <c r="F166" s="472"/>
    </row>
    <row r="167" spans="1:6" x14ac:dyDescent="0.2">
      <c r="A167" s="472">
        <v>44175</v>
      </c>
      <c r="B167" s="7">
        <v>13.454545454545499</v>
      </c>
      <c r="C167" s="5">
        <v>11</v>
      </c>
      <c r="D167" s="5" t="s">
        <v>235</v>
      </c>
      <c r="E167" s="5"/>
      <c r="F167" s="472"/>
    </row>
    <row r="168" spans="1:6" x14ac:dyDescent="0.2">
      <c r="A168" s="472">
        <v>44176</v>
      </c>
      <c r="B168" s="7">
        <v>13.454545454545499</v>
      </c>
      <c r="C168" s="5">
        <v>11</v>
      </c>
      <c r="D168" s="5" t="s">
        <v>236</v>
      </c>
      <c r="E168" s="5"/>
      <c r="F168" s="472"/>
    </row>
    <row r="169" spans="1:6" x14ac:dyDescent="0.2">
      <c r="A169" s="472">
        <v>44177</v>
      </c>
      <c r="B169" s="7">
        <v>13.363636363636401</v>
      </c>
      <c r="C169" s="5">
        <v>11</v>
      </c>
      <c r="D169" s="5" t="s">
        <v>237</v>
      </c>
      <c r="E169" s="5"/>
      <c r="F169" s="472"/>
    </row>
    <row r="170" spans="1:6" x14ac:dyDescent="0.2">
      <c r="A170" s="472">
        <v>44178</v>
      </c>
      <c r="B170" s="7">
        <v>13.2727272727273</v>
      </c>
      <c r="C170" s="5">
        <v>11</v>
      </c>
      <c r="D170" s="5" t="s">
        <v>238</v>
      </c>
      <c r="E170" s="5"/>
      <c r="F170" s="472"/>
    </row>
    <row r="171" spans="1:6" x14ac:dyDescent="0.2">
      <c r="A171" s="472">
        <v>44179</v>
      </c>
      <c r="B171" s="7">
        <v>13.181818181818199</v>
      </c>
      <c r="C171" s="5">
        <v>11</v>
      </c>
      <c r="D171" s="5" t="s">
        <v>239</v>
      </c>
      <c r="E171" s="5"/>
      <c r="F171" s="472"/>
    </row>
    <row r="172" spans="1:6" x14ac:dyDescent="0.2">
      <c r="A172" s="472">
        <v>44180</v>
      </c>
      <c r="B172" s="7">
        <v>13.090909090909101</v>
      </c>
      <c r="C172" s="5">
        <v>11</v>
      </c>
      <c r="D172" s="5" t="s">
        <v>233</v>
      </c>
      <c r="E172" s="5"/>
      <c r="F172" s="472"/>
    </row>
    <row r="173" spans="1:6" x14ac:dyDescent="0.2">
      <c r="A173" s="472">
        <v>44181</v>
      </c>
      <c r="B173" s="7">
        <v>13</v>
      </c>
      <c r="C173" s="5">
        <v>0</v>
      </c>
      <c r="D173" s="5" t="s">
        <v>234</v>
      </c>
      <c r="E173" s="5"/>
      <c r="F173" s="472"/>
    </row>
    <row r="174" spans="1:6" x14ac:dyDescent="0.2">
      <c r="A174" s="472">
        <v>44182</v>
      </c>
      <c r="B174" s="7">
        <v>13</v>
      </c>
      <c r="C174" s="5">
        <v>10</v>
      </c>
      <c r="D174" s="5" t="s">
        <v>235</v>
      </c>
      <c r="E174" s="5"/>
      <c r="F174" s="472"/>
    </row>
    <row r="175" spans="1:6" x14ac:dyDescent="0.2">
      <c r="A175" s="472">
        <v>44183</v>
      </c>
      <c r="B175" s="7">
        <v>13</v>
      </c>
      <c r="C175" s="5">
        <v>10</v>
      </c>
      <c r="D175" s="5" t="s">
        <v>236</v>
      </c>
      <c r="E175" s="5"/>
      <c r="F175" s="472"/>
    </row>
    <row r="176" spans="1:6" x14ac:dyDescent="0.2">
      <c r="A176" s="472">
        <v>44184</v>
      </c>
      <c r="B176" s="7">
        <v>12.9</v>
      </c>
      <c r="C176" s="5">
        <v>10</v>
      </c>
      <c r="D176" s="5" t="s">
        <v>237</v>
      </c>
      <c r="E176" s="5"/>
      <c r="F176" s="472"/>
    </row>
    <row r="177" spans="1:7" x14ac:dyDescent="0.2">
      <c r="A177" s="472">
        <v>44185</v>
      </c>
      <c r="B177" s="7">
        <v>12.8</v>
      </c>
      <c r="C177" s="5">
        <v>10</v>
      </c>
      <c r="D177" s="5" t="s">
        <v>238</v>
      </c>
      <c r="E177" s="5"/>
      <c r="F177" s="472"/>
    </row>
    <row r="178" spans="1:7" x14ac:dyDescent="0.2">
      <c r="A178" s="472">
        <v>44186</v>
      </c>
      <c r="B178" s="7">
        <v>12.7</v>
      </c>
      <c r="C178" s="5">
        <v>10</v>
      </c>
      <c r="D178" s="5" t="s">
        <v>239</v>
      </c>
      <c r="E178" s="5"/>
      <c r="F178" s="472"/>
    </row>
    <row r="179" spans="1:7" x14ac:dyDescent="0.2">
      <c r="A179" s="472">
        <v>44187</v>
      </c>
      <c r="B179" s="7">
        <v>12.6</v>
      </c>
      <c r="C179" s="5">
        <v>10</v>
      </c>
      <c r="D179" s="5" t="s">
        <v>233</v>
      </c>
      <c r="E179" s="5"/>
      <c r="F179" s="472"/>
    </row>
    <row r="180" spans="1:7" x14ac:dyDescent="0.2">
      <c r="A180" s="472">
        <v>44188</v>
      </c>
      <c r="B180" s="7">
        <v>12.5</v>
      </c>
      <c r="C180" s="5">
        <v>10</v>
      </c>
      <c r="D180" s="5" t="s">
        <v>234</v>
      </c>
      <c r="E180" s="5"/>
      <c r="F180" s="472"/>
    </row>
    <row r="181" spans="1:7" x14ac:dyDescent="0.2">
      <c r="A181" s="472">
        <v>44189</v>
      </c>
      <c r="B181" s="7">
        <v>12.5</v>
      </c>
      <c r="C181" s="5">
        <v>10</v>
      </c>
      <c r="D181" s="5" t="s">
        <v>235</v>
      </c>
      <c r="E181" s="5"/>
      <c r="F181" s="472"/>
    </row>
    <row r="182" spans="1:7" x14ac:dyDescent="0.2">
      <c r="A182" s="472">
        <v>44190</v>
      </c>
      <c r="B182" s="7">
        <v>12.5</v>
      </c>
      <c r="C182" s="5">
        <v>10</v>
      </c>
      <c r="D182" s="5" t="s">
        <v>236</v>
      </c>
      <c r="E182" s="5"/>
      <c r="F182" s="472"/>
    </row>
    <row r="183" spans="1:7" x14ac:dyDescent="0.2">
      <c r="A183" s="472">
        <v>44191</v>
      </c>
      <c r="B183" s="7">
        <v>12.4</v>
      </c>
      <c r="C183" s="5">
        <v>10</v>
      </c>
      <c r="D183" s="5" t="s">
        <v>237</v>
      </c>
      <c r="E183" s="5"/>
      <c r="F183" s="472"/>
    </row>
    <row r="184" spans="1:7" x14ac:dyDescent="0.2">
      <c r="A184" s="472">
        <v>44192</v>
      </c>
      <c r="B184" s="7">
        <v>12.3</v>
      </c>
      <c r="C184" s="5">
        <v>10</v>
      </c>
      <c r="D184" s="5" t="s">
        <v>238</v>
      </c>
      <c r="E184" s="5"/>
      <c r="F184" s="472"/>
    </row>
    <row r="185" spans="1:7" x14ac:dyDescent="0.2">
      <c r="A185" s="472">
        <v>44193</v>
      </c>
      <c r="B185" s="7">
        <v>12.2</v>
      </c>
      <c r="C185" s="5">
        <v>10</v>
      </c>
      <c r="D185" s="5" t="s">
        <v>239</v>
      </c>
      <c r="E185" s="5"/>
      <c r="F185" s="472"/>
    </row>
    <row r="186" spans="1:7" x14ac:dyDescent="0.2">
      <c r="A186" s="472">
        <v>44194</v>
      </c>
      <c r="B186" s="7">
        <v>12.1</v>
      </c>
      <c r="C186" s="5">
        <v>10</v>
      </c>
      <c r="D186" s="5" t="s">
        <v>233</v>
      </c>
      <c r="E186" s="5"/>
      <c r="F186" s="472"/>
    </row>
    <row r="187" spans="1:7" x14ac:dyDescent="0.2">
      <c r="A187" s="472">
        <v>44195</v>
      </c>
      <c r="B187" s="7">
        <v>12</v>
      </c>
      <c r="C187" s="5">
        <v>10</v>
      </c>
      <c r="D187" s="5" t="s">
        <v>234</v>
      </c>
      <c r="E187" s="5"/>
      <c r="F187" s="472"/>
    </row>
    <row r="188" spans="1:7" x14ac:dyDescent="0.2">
      <c r="A188" s="472">
        <v>44196</v>
      </c>
      <c r="B188" s="7">
        <v>12</v>
      </c>
      <c r="C188" s="5">
        <v>10</v>
      </c>
      <c r="D188" s="5" t="s">
        <v>235</v>
      </c>
      <c r="E188" s="5"/>
      <c r="F188" s="472"/>
    </row>
    <row r="189" spans="1:7" x14ac:dyDescent="0.2">
      <c r="A189" s="472">
        <v>44197</v>
      </c>
      <c r="B189" s="7">
        <v>12</v>
      </c>
      <c r="C189" s="5">
        <v>0</v>
      </c>
      <c r="D189" s="5" t="s">
        <v>236</v>
      </c>
      <c r="E189" s="5"/>
      <c r="F189" s="472"/>
    </row>
    <row r="190" spans="1:7" x14ac:dyDescent="0.2">
      <c r="A190" s="472">
        <v>44198</v>
      </c>
      <c r="B190" s="7">
        <v>11.909090909090899</v>
      </c>
      <c r="C190" s="5">
        <v>11</v>
      </c>
      <c r="D190" s="5" t="s">
        <v>237</v>
      </c>
      <c r="E190" s="5"/>
      <c r="F190" s="472"/>
      <c r="G190" s="7"/>
    </row>
    <row r="191" spans="1:7" x14ac:dyDescent="0.2">
      <c r="A191" s="472">
        <v>44199</v>
      </c>
      <c r="B191" s="7">
        <v>11.818181818181801</v>
      </c>
      <c r="C191" s="5">
        <v>11</v>
      </c>
      <c r="D191" s="5" t="s">
        <v>238</v>
      </c>
      <c r="E191" s="5"/>
      <c r="F191" s="472"/>
      <c r="G191" s="7"/>
    </row>
    <row r="192" spans="1:7" x14ac:dyDescent="0.2">
      <c r="A192" s="472">
        <v>44200</v>
      </c>
      <c r="B192" s="7">
        <v>11.7272727272727</v>
      </c>
      <c r="C192" s="5">
        <v>11</v>
      </c>
      <c r="D192" s="5" t="s">
        <v>239</v>
      </c>
      <c r="E192" s="5"/>
      <c r="F192" s="472"/>
      <c r="G192" s="7"/>
    </row>
    <row r="193" spans="1:7" x14ac:dyDescent="0.2">
      <c r="A193" s="472">
        <v>44201</v>
      </c>
      <c r="B193" s="7">
        <v>11.636363636363599</v>
      </c>
      <c r="C193" s="5">
        <v>11</v>
      </c>
      <c r="D193" s="5" t="s">
        <v>233</v>
      </c>
      <c r="E193" s="5"/>
      <c r="F193" s="472"/>
      <c r="G193" s="7"/>
    </row>
    <row r="194" spans="1:7" x14ac:dyDescent="0.2">
      <c r="A194" s="472">
        <v>44202</v>
      </c>
      <c r="B194" s="7">
        <v>11.5454545454546</v>
      </c>
      <c r="C194" s="5">
        <v>11</v>
      </c>
      <c r="D194" s="5" t="s">
        <v>234</v>
      </c>
      <c r="E194" s="5"/>
      <c r="F194" s="472"/>
      <c r="G194" s="7"/>
    </row>
    <row r="195" spans="1:7" x14ac:dyDescent="0.2">
      <c r="A195" s="472">
        <v>44203</v>
      </c>
      <c r="B195" s="7">
        <v>11.5454545454546</v>
      </c>
      <c r="C195" s="5">
        <v>11</v>
      </c>
      <c r="D195" s="5" t="s">
        <v>235</v>
      </c>
      <c r="E195" s="5"/>
      <c r="F195" s="472"/>
      <c r="G195" s="7"/>
    </row>
    <row r="196" spans="1:7" x14ac:dyDescent="0.2">
      <c r="A196" s="472">
        <v>44204</v>
      </c>
      <c r="B196" s="7">
        <v>11.5454545454546</v>
      </c>
      <c r="C196" s="5">
        <v>11</v>
      </c>
      <c r="D196" s="5" t="s">
        <v>236</v>
      </c>
      <c r="E196" s="5"/>
      <c r="F196" s="472"/>
      <c r="G196" s="7"/>
    </row>
    <row r="197" spans="1:7" x14ac:dyDescent="0.2">
      <c r="A197" s="472">
        <v>44205</v>
      </c>
      <c r="B197" s="7">
        <v>11.454545454545499</v>
      </c>
      <c r="C197" s="5">
        <v>11</v>
      </c>
      <c r="D197" s="5" t="s">
        <v>237</v>
      </c>
      <c r="E197" s="5"/>
      <c r="F197" s="472"/>
      <c r="G197" s="7"/>
    </row>
    <row r="198" spans="1:7" x14ac:dyDescent="0.2">
      <c r="A198" s="472">
        <v>44206</v>
      </c>
      <c r="B198" s="7">
        <v>11.363636363636401</v>
      </c>
      <c r="C198" s="5">
        <v>11</v>
      </c>
      <c r="D198" s="5" t="s">
        <v>238</v>
      </c>
      <c r="E198" s="5"/>
      <c r="F198" s="472"/>
      <c r="G198" s="7"/>
    </row>
    <row r="199" spans="1:7" x14ac:dyDescent="0.2">
      <c r="A199" s="472">
        <v>44207</v>
      </c>
      <c r="B199" s="7">
        <v>11.2727272727273</v>
      </c>
      <c r="C199" s="5">
        <v>11</v>
      </c>
      <c r="D199" s="5" t="s">
        <v>239</v>
      </c>
      <c r="E199" s="5"/>
      <c r="F199" s="472"/>
      <c r="G199" s="7"/>
    </row>
    <row r="200" spans="1:7" x14ac:dyDescent="0.2">
      <c r="A200" s="472">
        <v>44208</v>
      </c>
      <c r="B200" s="7">
        <v>11.181818181818199</v>
      </c>
      <c r="C200" s="5">
        <v>11</v>
      </c>
      <c r="D200" s="5" t="s">
        <v>233</v>
      </c>
      <c r="E200" s="5"/>
      <c r="F200" s="472"/>
      <c r="G200" s="7"/>
    </row>
    <row r="201" spans="1:7" x14ac:dyDescent="0.2">
      <c r="A201" s="472">
        <v>44209</v>
      </c>
      <c r="B201" s="7">
        <v>11.090909090909101</v>
      </c>
      <c r="C201" s="5">
        <v>11</v>
      </c>
      <c r="D201" s="5" t="s">
        <v>234</v>
      </c>
      <c r="E201" s="5"/>
      <c r="F201" s="472"/>
      <c r="G201" s="7"/>
    </row>
    <row r="202" spans="1:7" x14ac:dyDescent="0.2">
      <c r="A202" s="472">
        <v>44210</v>
      </c>
      <c r="B202" s="7">
        <v>11.090909090909101</v>
      </c>
      <c r="C202" s="5">
        <v>11</v>
      </c>
      <c r="D202" s="5" t="s">
        <v>235</v>
      </c>
      <c r="E202" s="5"/>
      <c r="F202" s="472"/>
      <c r="G202" s="7"/>
    </row>
    <row r="203" spans="1:7" x14ac:dyDescent="0.2">
      <c r="A203" s="472">
        <v>44211</v>
      </c>
      <c r="B203" s="7">
        <v>11.090909090909101</v>
      </c>
      <c r="C203" s="5">
        <v>11</v>
      </c>
      <c r="D203" s="5" t="s">
        <v>236</v>
      </c>
      <c r="E203" s="5"/>
      <c r="F203" s="472"/>
      <c r="G203" s="7"/>
    </row>
    <row r="204" spans="1:7" x14ac:dyDescent="0.2">
      <c r="A204" s="472">
        <v>44212</v>
      </c>
      <c r="B204" s="7">
        <v>11</v>
      </c>
      <c r="C204" s="5">
        <v>0</v>
      </c>
      <c r="D204" s="5" t="s">
        <v>237</v>
      </c>
      <c r="E204" s="5"/>
      <c r="F204" s="472"/>
    </row>
    <row r="205" spans="1:7" x14ac:dyDescent="0.2">
      <c r="A205" s="472">
        <v>44213</v>
      </c>
      <c r="B205" s="7">
        <v>10.9166666666667</v>
      </c>
      <c r="C205" s="5">
        <v>12</v>
      </c>
      <c r="D205" s="5" t="s">
        <v>238</v>
      </c>
      <c r="E205" s="5"/>
      <c r="F205" s="472"/>
    </row>
    <row r="206" spans="1:7" x14ac:dyDescent="0.2">
      <c r="A206" s="472">
        <v>44214</v>
      </c>
      <c r="B206" s="7">
        <v>10.8333333333333</v>
      </c>
      <c r="C206" s="5">
        <v>12</v>
      </c>
      <c r="D206" s="5" t="s">
        <v>239</v>
      </c>
      <c r="E206" s="5"/>
      <c r="F206" s="472"/>
    </row>
    <row r="207" spans="1:7" x14ac:dyDescent="0.2">
      <c r="A207" s="472">
        <v>44215</v>
      </c>
      <c r="B207" s="7">
        <v>10.75</v>
      </c>
      <c r="C207" s="5">
        <v>12</v>
      </c>
      <c r="D207" s="5" t="s">
        <v>233</v>
      </c>
      <c r="E207" s="5"/>
      <c r="F207" s="472"/>
    </row>
    <row r="208" spans="1:7" x14ac:dyDescent="0.2">
      <c r="A208" s="472">
        <v>44216</v>
      </c>
      <c r="B208" s="7">
        <v>10.6666666666667</v>
      </c>
      <c r="C208" s="5">
        <v>12</v>
      </c>
      <c r="D208" s="5" t="s">
        <v>234</v>
      </c>
      <c r="E208" s="5"/>
      <c r="F208" s="472"/>
    </row>
    <row r="209" spans="1:6" x14ac:dyDescent="0.2">
      <c r="A209" s="472">
        <v>44217</v>
      </c>
      <c r="B209" s="7">
        <v>10.6666666666667</v>
      </c>
      <c r="C209" s="5">
        <v>12</v>
      </c>
      <c r="D209" s="5" t="s">
        <v>235</v>
      </c>
      <c r="E209" s="5"/>
      <c r="F209" s="472"/>
    </row>
    <row r="210" spans="1:6" x14ac:dyDescent="0.2">
      <c r="A210" s="472">
        <v>44218</v>
      </c>
      <c r="B210" s="7">
        <v>10.6666666666667</v>
      </c>
      <c r="C210" s="5">
        <v>12</v>
      </c>
      <c r="D210" s="5" t="s">
        <v>236</v>
      </c>
      <c r="E210" s="5"/>
      <c r="F210" s="472"/>
    </row>
    <row r="211" spans="1:6" x14ac:dyDescent="0.2">
      <c r="A211" s="472">
        <v>44219</v>
      </c>
      <c r="B211" s="7">
        <v>10.5833333333333</v>
      </c>
      <c r="C211" s="5">
        <v>12</v>
      </c>
      <c r="D211" s="5" t="s">
        <v>237</v>
      </c>
      <c r="E211" s="5"/>
      <c r="F211" s="472"/>
    </row>
    <row r="212" spans="1:6" x14ac:dyDescent="0.2">
      <c r="A212" s="472">
        <v>44220</v>
      </c>
      <c r="B212" s="7">
        <v>10.5</v>
      </c>
      <c r="C212" s="5">
        <v>12</v>
      </c>
      <c r="D212" s="5" t="s">
        <v>238</v>
      </c>
      <c r="E212" s="5"/>
      <c r="F212" s="472"/>
    </row>
    <row r="213" spans="1:6" x14ac:dyDescent="0.2">
      <c r="A213" s="472">
        <v>44221</v>
      </c>
      <c r="B213" s="7">
        <v>10.4166666666667</v>
      </c>
      <c r="C213" s="5">
        <v>12</v>
      </c>
      <c r="D213" s="5" t="s">
        <v>239</v>
      </c>
      <c r="E213" s="5"/>
      <c r="F213" s="472"/>
    </row>
    <row r="214" spans="1:6" x14ac:dyDescent="0.2">
      <c r="A214" s="472">
        <v>44222</v>
      </c>
      <c r="B214" s="7">
        <v>10.3333333333333</v>
      </c>
      <c r="C214" s="5">
        <v>12</v>
      </c>
      <c r="D214" s="5" t="s">
        <v>233</v>
      </c>
      <c r="E214" s="5"/>
      <c r="F214" s="472"/>
    </row>
    <row r="215" spans="1:6" x14ac:dyDescent="0.2">
      <c r="A215" s="472">
        <v>44223</v>
      </c>
      <c r="B215" s="7">
        <v>10.25</v>
      </c>
      <c r="C215" s="5">
        <v>12</v>
      </c>
      <c r="D215" s="5" t="s">
        <v>234</v>
      </c>
      <c r="E215" s="5"/>
      <c r="F215" s="472"/>
    </row>
    <row r="216" spans="1:6" x14ac:dyDescent="0.2">
      <c r="A216" s="472">
        <v>44224</v>
      </c>
      <c r="B216" s="7">
        <v>10.25</v>
      </c>
      <c r="C216" s="5">
        <v>12</v>
      </c>
      <c r="D216" s="5" t="s">
        <v>235</v>
      </c>
      <c r="E216" s="5"/>
      <c r="F216" s="472"/>
    </row>
    <row r="217" spans="1:6" x14ac:dyDescent="0.2">
      <c r="A217" s="472">
        <v>44225</v>
      </c>
      <c r="B217" s="7">
        <v>10.25</v>
      </c>
      <c r="C217" s="5">
        <v>12</v>
      </c>
      <c r="D217" s="5" t="s">
        <v>236</v>
      </c>
      <c r="E217" s="5"/>
      <c r="F217" s="472"/>
    </row>
    <row r="218" spans="1:6" x14ac:dyDescent="0.2">
      <c r="A218" s="472">
        <v>44226</v>
      </c>
      <c r="B218" s="7">
        <v>10.166666666666</v>
      </c>
      <c r="C218" s="5">
        <v>12</v>
      </c>
      <c r="D218" s="5" t="s">
        <v>237</v>
      </c>
      <c r="E218" s="5"/>
      <c r="F218" s="472"/>
    </row>
    <row r="219" spans="1:6" x14ac:dyDescent="0.2">
      <c r="A219" s="472">
        <v>44227</v>
      </c>
      <c r="B219" s="7">
        <v>10.0833333333333</v>
      </c>
      <c r="C219" s="5">
        <v>12</v>
      </c>
      <c r="D219" s="5" t="s">
        <v>238</v>
      </c>
      <c r="E219" s="5"/>
      <c r="F219" s="472"/>
    </row>
    <row r="220" spans="1:6" x14ac:dyDescent="0.2">
      <c r="A220" s="472">
        <v>44228</v>
      </c>
      <c r="B220" s="7">
        <v>10</v>
      </c>
      <c r="C220" s="5">
        <v>0</v>
      </c>
      <c r="D220" s="5" t="s">
        <v>239</v>
      </c>
      <c r="E220" s="5"/>
      <c r="F220" s="472"/>
    </row>
    <row r="221" spans="1:6" x14ac:dyDescent="0.2">
      <c r="A221" s="472">
        <v>44229</v>
      </c>
      <c r="B221" s="7">
        <v>9.9090909090908994</v>
      </c>
      <c r="C221" s="5">
        <v>11</v>
      </c>
      <c r="D221" s="5" t="s">
        <v>233</v>
      </c>
      <c r="E221" s="5"/>
      <c r="F221" s="472"/>
    </row>
    <row r="222" spans="1:6" x14ac:dyDescent="0.2">
      <c r="A222" s="472">
        <v>44230</v>
      </c>
      <c r="B222" s="7">
        <v>9.8181818181818006</v>
      </c>
      <c r="C222" s="5">
        <v>11</v>
      </c>
      <c r="D222" s="5" t="s">
        <v>234</v>
      </c>
      <c r="E222" s="5"/>
      <c r="F222" s="472"/>
    </row>
    <row r="223" spans="1:6" x14ac:dyDescent="0.2">
      <c r="A223" s="472">
        <v>44231</v>
      </c>
      <c r="B223" s="7">
        <v>9.8181818181818006</v>
      </c>
      <c r="C223" s="5">
        <v>11</v>
      </c>
      <c r="D223" s="5" t="s">
        <v>235</v>
      </c>
      <c r="E223" s="5"/>
      <c r="F223" s="472"/>
    </row>
    <row r="224" spans="1:6" x14ac:dyDescent="0.2">
      <c r="A224" s="472">
        <v>44232</v>
      </c>
      <c r="B224" s="7">
        <v>9.8181818181818006</v>
      </c>
      <c r="C224" s="5">
        <v>11</v>
      </c>
      <c r="D224" s="5" t="s">
        <v>236</v>
      </c>
      <c r="E224" s="5"/>
      <c r="F224" s="472"/>
    </row>
    <row r="225" spans="1:6" x14ac:dyDescent="0.2">
      <c r="A225" s="472">
        <v>44233</v>
      </c>
      <c r="B225" s="7">
        <v>9.7272727272727</v>
      </c>
      <c r="C225" s="5">
        <v>11</v>
      </c>
      <c r="D225" s="5" t="s">
        <v>237</v>
      </c>
      <c r="E225" s="5"/>
      <c r="F225" s="472"/>
    </row>
    <row r="226" spans="1:6" x14ac:dyDescent="0.2">
      <c r="A226" s="472">
        <v>44234</v>
      </c>
      <c r="B226" s="7">
        <v>9.6363636363635994</v>
      </c>
      <c r="C226" s="5">
        <v>11</v>
      </c>
      <c r="D226" s="5" t="s">
        <v>238</v>
      </c>
      <c r="E226" s="5"/>
      <c r="F226" s="472"/>
    </row>
    <row r="227" spans="1:6" x14ac:dyDescent="0.2">
      <c r="A227" s="472">
        <v>44235</v>
      </c>
      <c r="B227" s="7">
        <v>9.5454545454539996</v>
      </c>
      <c r="C227" s="5">
        <v>11</v>
      </c>
      <c r="D227" s="5" t="s">
        <v>239</v>
      </c>
      <c r="E227" s="5"/>
      <c r="F227" s="472"/>
    </row>
    <row r="228" spans="1:6" x14ac:dyDescent="0.2">
      <c r="A228" s="472">
        <v>44236</v>
      </c>
      <c r="B228" s="7">
        <v>9.4545454545454994</v>
      </c>
      <c r="C228" s="5">
        <v>11</v>
      </c>
      <c r="D228" s="5" t="s">
        <v>233</v>
      </c>
      <c r="E228" s="5"/>
      <c r="F228" s="472"/>
    </row>
    <row r="229" spans="1:6" x14ac:dyDescent="0.2">
      <c r="A229" s="472">
        <v>44237</v>
      </c>
      <c r="B229" s="7">
        <v>9.3636363636364006</v>
      </c>
      <c r="C229" s="5">
        <v>11</v>
      </c>
      <c r="D229" s="5" t="s">
        <v>234</v>
      </c>
      <c r="E229" s="5"/>
      <c r="F229" s="472"/>
    </row>
    <row r="230" spans="1:6" x14ac:dyDescent="0.2">
      <c r="A230" s="472">
        <v>44238</v>
      </c>
      <c r="B230" s="7">
        <v>9.3636363636364006</v>
      </c>
      <c r="C230" s="5">
        <v>11</v>
      </c>
      <c r="D230" s="5" t="s">
        <v>235</v>
      </c>
      <c r="E230" s="5"/>
      <c r="F230" s="472"/>
    </row>
    <row r="231" spans="1:6" x14ac:dyDescent="0.2">
      <c r="A231" s="472">
        <v>44239</v>
      </c>
      <c r="B231" s="7">
        <v>9.3636363636364006</v>
      </c>
      <c r="C231" s="5">
        <v>11</v>
      </c>
      <c r="D231" s="5" t="s">
        <v>236</v>
      </c>
      <c r="E231" s="5"/>
      <c r="F231" s="472"/>
    </row>
    <row r="232" spans="1:6" x14ac:dyDescent="0.2">
      <c r="A232" s="472">
        <v>44240</v>
      </c>
      <c r="B232" s="7">
        <v>9.2727272727273</v>
      </c>
      <c r="C232" s="5">
        <v>11</v>
      </c>
      <c r="D232" s="5" t="s">
        <v>237</v>
      </c>
      <c r="E232" s="5"/>
      <c r="F232" s="472"/>
    </row>
    <row r="233" spans="1:6" x14ac:dyDescent="0.2">
      <c r="A233" s="472">
        <v>44241</v>
      </c>
      <c r="B233" s="7">
        <v>9.1818181818181994</v>
      </c>
      <c r="C233" s="5">
        <v>11</v>
      </c>
      <c r="D233" s="5" t="s">
        <v>238</v>
      </c>
      <c r="E233" s="5"/>
      <c r="F233" s="472"/>
    </row>
    <row r="234" spans="1:6" x14ac:dyDescent="0.2">
      <c r="A234" s="472">
        <v>44242</v>
      </c>
      <c r="B234" s="7">
        <v>9.0909090909091006</v>
      </c>
      <c r="C234" s="5">
        <v>11</v>
      </c>
      <c r="D234" s="5" t="s">
        <v>239</v>
      </c>
      <c r="E234" s="5"/>
      <c r="F234" s="472"/>
    </row>
    <row r="235" spans="1:6" x14ac:dyDescent="0.2">
      <c r="A235" s="472">
        <v>44243</v>
      </c>
      <c r="B235" s="7">
        <v>9</v>
      </c>
      <c r="C235" s="5">
        <v>0</v>
      </c>
      <c r="D235" s="5" t="s">
        <v>233</v>
      </c>
      <c r="E235" s="5"/>
      <c r="F235" s="472"/>
    </row>
    <row r="236" spans="1:6" x14ac:dyDescent="0.2">
      <c r="A236" s="472">
        <v>44244</v>
      </c>
      <c r="B236" s="7">
        <v>8.8888888888888999</v>
      </c>
      <c r="C236" s="5">
        <v>9</v>
      </c>
      <c r="D236" s="5" t="s">
        <v>234</v>
      </c>
      <c r="E236" s="5"/>
      <c r="F236" s="472"/>
    </row>
    <row r="237" spans="1:6" x14ac:dyDescent="0.2">
      <c r="A237" s="472">
        <v>44245</v>
      </c>
      <c r="B237" s="7">
        <v>8.8888888888888999</v>
      </c>
      <c r="C237" s="5">
        <v>9</v>
      </c>
      <c r="D237" s="5" t="s">
        <v>235</v>
      </c>
      <c r="E237" s="5"/>
      <c r="F237" s="472"/>
    </row>
    <row r="238" spans="1:6" x14ac:dyDescent="0.2">
      <c r="A238" s="472">
        <v>44246</v>
      </c>
      <c r="B238" s="7">
        <v>8.8888888888888999</v>
      </c>
      <c r="C238" s="5">
        <v>9</v>
      </c>
      <c r="D238" s="5" t="s">
        <v>236</v>
      </c>
      <c r="E238" s="5"/>
      <c r="F238" s="472"/>
    </row>
    <row r="239" spans="1:6" x14ac:dyDescent="0.2">
      <c r="A239" s="472">
        <v>44247</v>
      </c>
      <c r="B239" s="7">
        <v>8.7777777777777999</v>
      </c>
      <c r="C239" s="5">
        <v>9</v>
      </c>
      <c r="D239" s="5" t="s">
        <v>237</v>
      </c>
      <c r="E239" s="5"/>
      <c r="F239" s="472"/>
    </row>
    <row r="240" spans="1:6" x14ac:dyDescent="0.2">
      <c r="A240" s="472">
        <v>44248</v>
      </c>
      <c r="B240" s="7">
        <v>8.6666666666666998</v>
      </c>
      <c r="C240" s="5">
        <v>9</v>
      </c>
      <c r="D240" s="5" t="s">
        <v>238</v>
      </c>
      <c r="E240" s="5"/>
      <c r="F240" s="472"/>
    </row>
    <row r="241" spans="1:6" x14ac:dyDescent="0.2">
      <c r="A241" s="472">
        <v>44249</v>
      </c>
      <c r="B241" s="7">
        <v>8.5555555555555998</v>
      </c>
      <c r="C241" s="5">
        <v>9</v>
      </c>
      <c r="D241" s="5" t="s">
        <v>239</v>
      </c>
      <c r="E241" s="5"/>
      <c r="F241" s="472"/>
    </row>
    <row r="242" spans="1:6" x14ac:dyDescent="0.2">
      <c r="A242" s="472">
        <v>44250</v>
      </c>
      <c r="B242" s="7">
        <v>8.4444444444444997</v>
      </c>
      <c r="C242" s="5">
        <v>9</v>
      </c>
      <c r="D242" s="5" t="s">
        <v>233</v>
      </c>
      <c r="E242" s="5"/>
      <c r="F242" s="472"/>
    </row>
    <row r="243" spans="1:6" x14ac:dyDescent="0.2">
      <c r="A243" s="472">
        <v>44251</v>
      </c>
      <c r="B243" s="7">
        <v>8.3333333333333997</v>
      </c>
      <c r="C243" s="5">
        <v>9</v>
      </c>
      <c r="D243" s="5" t="s">
        <v>234</v>
      </c>
      <c r="E243" s="5"/>
      <c r="F243" s="472"/>
    </row>
    <row r="244" spans="1:6" x14ac:dyDescent="0.2">
      <c r="A244" s="472">
        <v>44252</v>
      </c>
      <c r="B244" s="7">
        <v>8.3333333333333997</v>
      </c>
      <c r="C244" s="5">
        <v>9</v>
      </c>
      <c r="D244" s="5" t="s">
        <v>235</v>
      </c>
      <c r="E244" s="5"/>
      <c r="F244" s="472"/>
    </row>
    <row r="245" spans="1:6" x14ac:dyDescent="0.2">
      <c r="A245" s="472">
        <v>44253</v>
      </c>
      <c r="B245" s="7">
        <v>8.3333333333333997</v>
      </c>
      <c r="C245" s="5">
        <v>9</v>
      </c>
      <c r="D245" s="5" t="s">
        <v>236</v>
      </c>
      <c r="E245" s="5"/>
      <c r="F245" s="472"/>
    </row>
    <row r="246" spans="1:6" x14ac:dyDescent="0.2">
      <c r="A246" s="472">
        <v>44254</v>
      </c>
      <c r="B246" s="7">
        <v>8.2222222222222996</v>
      </c>
      <c r="C246" s="5">
        <v>9</v>
      </c>
      <c r="D246" s="5" t="s">
        <v>237</v>
      </c>
      <c r="E246" s="5"/>
      <c r="F246" s="472"/>
    </row>
    <row r="247" spans="1:6" x14ac:dyDescent="0.2">
      <c r="A247" s="472">
        <v>44255</v>
      </c>
      <c r="B247" s="7">
        <v>8.1111111111111995</v>
      </c>
      <c r="C247" s="5">
        <v>9</v>
      </c>
      <c r="D247" s="5" t="s">
        <v>238</v>
      </c>
      <c r="E247" s="5"/>
      <c r="F247" s="472"/>
    </row>
    <row r="248" spans="1:6" x14ac:dyDescent="0.2">
      <c r="A248" s="472">
        <v>44256</v>
      </c>
      <c r="B248" s="7">
        <v>8</v>
      </c>
      <c r="C248" s="5">
        <v>0</v>
      </c>
      <c r="D248" s="5" t="s">
        <v>239</v>
      </c>
      <c r="E248" s="5"/>
      <c r="F248" s="472"/>
    </row>
    <row r="249" spans="1:6" x14ac:dyDescent="0.2">
      <c r="A249" s="472">
        <v>44257</v>
      </c>
      <c r="B249" s="7">
        <v>7.9090909090909003</v>
      </c>
      <c r="C249" s="5">
        <v>11</v>
      </c>
      <c r="D249" s="5" t="s">
        <v>233</v>
      </c>
      <c r="E249" s="5"/>
      <c r="F249" s="472"/>
    </row>
    <row r="250" spans="1:6" x14ac:dyDescent="0.2">
      <c r="A250" s="472">
        <v>44258</v>
      </c>
      <c r="B250" s="7">
        <v>7.8181818181817997</v>
      </c>
      <c r="C250" s="5">
        <v>11</v>
      </c>
      <c r="D250" s="5" t="s">
        <v>234</v>
      </c>
      <c r="E250" s="5"/>
      <c r="F250" s="472"/>
    </row>
    <row r="251" spans="1:6" x14ac:dyDescent="0.2">
      <c r="A251" s="472">
        <v>44259</v>
      </c>
      <c r="B251" s="7">
        <v>7.8181818181817997</v>
      </c>
      <c r="C251" s="5">
        <v>11</v>
      </c>
      <c r="D251" s="5" t="s">
        <v>235</v>
      </c>
      <c r="E251" s="5"/>
      <c r="F251" s="472"/>
    </row>
    <row r="252" spans="1:6" x14ac:dyDescent="0.2">
      <c r="A252" s="472">
        <v>44260</v>
      </c>
      <c r="B252" s="7">
        <v>7.8181818181817997</v>
      </c>
      <c r="C252" s="5">
        <v>11</v>
      </c>
      <c r="D252" s="5" t="s">
        <v>236</v>
      </c>
      <c r="E252" s="5"/>
      <c r="F252" s="472"/>
    </row>
    <row r="253" spans="1:6" x14ac:dyDescent="0.2">
      <c r="A253" s="472">
        <v>44261</v>
      </c>
      <c r="B253" s="7">
        <v>7.7272727272727</v>
      </c>
      <c r="C253" s="5">
        <v>11</v>
      </c>
      <c r="D253" s="5" t="s">
        <v>237</v>
      </c>
      <c r="E253" s="5"/>
      <c r="F253" s="472"/>
    </row>
    <row r="254" spans="1:6" x14ac:dyDescent="0.2">
      <c r="A254" s="472">
        <v>44262</v>
      </c>
      <c r="B254" s="7">
        <v>7.6363636363636003</v>
      </c>
      <c r="C254" s="5">
        <v>11</v>
      </c>
      <c r="D254" s="5" t="s">
        <v>238</v>
      </c>
      <c r="E254" s="5"/>
      <c r="F254" s="472"/>
    </row>
    <row r="255" spans="1:6" x14ac:dyDescent="0.2">
      <c r="A255" s="472">
        <v>44263</v>
      </c>
      <c r="B255" s="7">
        <v>7.5454545454539996</v>
      </c>
      <c r="C255" s="5">
        <v>11</v>
      </c>
      <c r="D255" s="5" t="s">
        <v>239</v>
      </c>
      <c r="E255" s="5"/>
      <c r="F255" s="472"/>
    </row>
    <row r="256" spans="1:6" x14ac:dyDescent="0.2">
      <c r="A256" s="472">
        <v>44264</v>
      </c>
      <c r="B256" s="7">
        <v>7.4545454545455003</v>
      </c>
      <c r="C256" s="5">
        <v>11</v>
      </c>
      <c r="D256" s="5" t="s">
        <v>233</v>
      </c>
      <c r="E256" s="5"/>
      <c r="F256" s="472"/>
    </row>
    <row r="257" spans="1:6" x14ac:dyDescent="0.2">
      <c r="A257" s="472">
        <v>44265</v>
      </c>
      <c r="B257" s="7">
        <v>7.3636363636363997</v>
      </c>
      <c r="C257" s="5">
        <v>11</v>
      </c>
      <c r="D257" s="5" t="s">
        <v>234</v>
      </c>
      <c r="E257" s="5"/>
      <c r="F257" s="472"/>
    </row>
    <row r="258" spans="1:6" x14ac:dyDescent="0.2">
      <c r="A258" s="472">
        <v>44266</v>
      </c>
      <c r="B258" s="7">
        <v>7.3636363636363997</v>
      </c>
      <c r="C258" s="5">
        <v>11</v>
      </c>
      <c r="D258" s="5" t="s">
        <v>235</v>
      </c>
      <c r="E258" s="5"/>
      <c r="F258" s="472"/>
    </row>
    <row r="259" spans="1:6" x14ac:dyDescent="0.2">
      <c r="A259" s="472">
        <v>44267</v>
      </c>
      <c r="B259" s="7">
        <v>7.3636363636363997</v>
      </c>
      <c r="C259" s="5">
        <v>11</v>
      </c>
      <c r="D259" s="5" t="s">
        <v>236</v>
      </c>
      <c r="E259" s="5"/>
      <c r="F259" s="472"/>
    </row>
    <row r="260" spans="1:6" x14ac:dyDescent="0.2">
      <c r="A260" s="472">
        <v>44268</v>
      </c>
      <c r="B260" s="7">
        <v>7.2727272727273</v>
      </c>
      <c r="C260" s="5">
        <v>11</v>
      </c>
      <c r="D260" s="5" t="s">
        <v>237</v>
      </c>
      <c r="E260" s="5"/>
      <c r="F260" s="472"/>
    </row>
    <row r="261" spans="1:6" x14ac:dyDescent="0.2">
      <c r="A261" s="472">
        <v>44269</v>
      </c>
      <c r="B261" s="7">
        <v>7.1818181818182003</v>
      </c>
      <c r="C261" s="5">
        <v>11</v>
      </c>
      <c r="D261" s="5" t="s">
        <v>238</v>
      </c>
      <c r="E261" s="5"/>
      <c r="F261" s="472"/>
    </row>
    <row r="262" spans="1:6" x14ac:dyDescent="0.2">
      <c r="A262" s="472">
        <v>44270</v>
      </c>
      <c r="B262" s="7">
        <v>7.0909090909090997</v>
      </c>
      <c r="C262" s="5">
        <v>11</v>
      </c>
      <c r="D262" s="5" t="s">
        <v>239</v>
      </c>
      <c r="E262" s="5"/>
      <c r="F262" s="472"/>
    </row>
    <row r="263" spans="1:6" x14ac:dyDescent="0.2">
      <c r="A263" s="472">
        <v>44271</v>
      </c>
      <c r="B263" s="7">
        <v>7</v>
      </c>
      <c r="C263" s="5">
        <v>0</v>
      </c>
      <c r="D263" s="5" t="s">
        <v>233</v>
      </c>
      <c r="E263" s="5"/>
      <c r="F263" s="472"/>
    </row>
    <row r="264" spans="1:6" x14ac:dyDescent="0.2">
      <c r="A264" s="472">
        <v>44272</v>
      </c>
      <c r="B264" s="7">
        <v>6.9090909090909003</v>
      </c>
      <c r="C264" s="5">
        <v>11</v>
      </c>
      <c r="D264" s="5" t="s">
        <v>234</v>
      </c>
      <c r="E264" s="5"/>
      <c r="F264" s="472"/>
    </row>
    <row r="265" spans="1:6" x14ac:dyDescent="0.2">
      <c r="A265" s="472">
        <v>44273</v>
      </c>
      <c r="B265" s="7">
        <v>6.9090909090909003</v>
      </c>
      <c r="C265" s="5">
        <v>11</v>
      </c>
      <c r="D265" s="5" t="s">
        <v>235</v>
      </c>
      <c r="E265" s="5"/>
      <c r="F265" s="472"/>
    </row>
    <row r="266" spans="1:6" x14ac:dyDescent="0.2">
      <c r="A266" s="472">
        <v>44274</v>
      </c>
      <c r="B266" s="7">
        <v>6.9090909090909003</v>
      </c>
      <c r="C266" s="5">
        <v>11</v>
      </c>
      <c r="D266" s="5" t="s">
        <v>236</v>
      </c>
      <c r="E266" s="5"/>
      <c r="F266" s="472"/>
    </row>
    <row r="267" spans="1:6" x14ac:dyDescent="0.2">
      <c r="A267" s="472">
        <v>44275</v>
      </c>
      <c r="B267" s="7">
        <v>6.8181818181817997</v>
      </c>
      <c r="C267" s="5">
        <v>11</v>
      </c>
      <c r="D267" s="5" t="s">
        <v>237</v>
      </c>
      <c r="E267" s="5"/>
      <c r="F267" s="472"/>
    </row>
    <row r="268" spans="1:6" x14ac:dyDescent="0.2">
      <c r="A268" s="472">
        <v>44276</v>
      </c>
      <c r="B268" s="7">
        <v>6.7272727272727</v>
      </c>
      <c r="C268" s="5">
        <v>11</v>
      </c>
      <c r="D268" s="5" t="s">
        <v>238</v>
      </c>
      <c r="E268" s="5"/>
      <c r="F268" s="472"/>
    </row>
    <row r="269" spans="1:6" x14ac:dyDescent="0.2">
      <c r="A269" s="472">
        <v>44277</v>
      </c>
      <c r="B269" s="7">
        <v>6.6363636363636003</v>
      </c>
      <c r="C269" s="5">
        <v>11</v>
      </c>
      <c r="D269" s="5" t="s">
        <v>239</v>
      </c>
      <c r="E269" s="5"/>
      <c r="F269" s="472"/>
    </row>
    <row r="270" spans="1:6" x14ac:dyDescent="0.2">
      <c r="A270" s="472">
        <v>44278</v>
      </c>
      <c r="B270" s="7">
        <v>6.5454545454539996</v>
      </c>
      <c r="C270" s="5">
        <v>11</v>
      </c>
      <c r="D270" s="5" t="s">
        <v>233</v>
      </c>
      <c r="E270" s="5"/>
      <c r="F270" s="472"/>
    </row>
    <row r="271" spans="1:6" x14ac:dyDescent="0.2">
      <c r="A271" s="472">
        <v>44279</v>
      </c>
      <c r="B271" s="7">
        <v>6.4545454545455003</v>
      </c>
      <c r="C271" s="5">
        <v>11</v>
      </c>
      <c r="D271" s="5" t="s">
        <v>234</v>
      </c>
      <c r="E271" s="5"/>
      <c r="F271" s="472"/>
    </row>
    <row r="272" spans="1:6" x14ac:dyDescent="0.2">
      <c r="A272" s="472">
        <v>44280</v>
      </c>
      <c r="B272" s="7">
        <v>6.4545454545455003</v>
      </c>
      <c r="C272" s="5">
        <v>11</v>
      </c>
      <c r="D272" s="5" t="s">
        <v>235</v>
      </c>
      <c r="E272" s="5"/>
      <c r="F272" s="472"/>
    </row>
    <row r="273" spans="1:6" x14ac:dyDescent="0.2">
      <c r="A273" s="472">
        <v>44281</v>
      </c>
      <c r="B273" s="7">
        <v>6.4545454545455003</v>
      </c>
      <c r="C273" s="5">
        <v>11</v>
      </c>
      <c r="D273" s="5" t="s">
        <v>236</v>
      </c>
      <c r="E273" s="5"/>
      <c r="F273" s="472"/>
    </row>
    <row r="274" spans="1:6" x14ac:dyDescent="0.2">
      <c r="A274" s="472">
        <v>44282</v>
      </c>
      <c r="B274" s="7">
        <v>6.3636363636363997</v>
      </c>
      <c r="C274" s="5">
        <v>11</v>
      </c>
      <c r="D274" s="5" t="s">
        <v>237</v>
      </c>
      <c r="E274" s="5"/>
      <c r="F274" s="472"/>
    </row>
    <row r="275" spans="1:6" x14ac:dyDescent="0.2">
      <c r="A275" s="472">
        <v>44283</v>
      </c>
      <c r="B275" s="7">
        <v>6.2727272727273</v>
      </c>
      <c r="C275" s="5">
        <v>11</v>
      </c>
      <c r="D275" s="5" t="s">
        <v>238</v>
      </c>
      <c r="E275" s="5"/>
      <c r="F275" s="472"/>
    </row>
    <row r="276" spans="1:6" x14ac:dyDescent="0.2">
      <c r="A276" s="472">
        <v>44284</v>
      </c>
      <c r="B276" s="7">
        <v>6.1818181818182003</v>
      </c>
      <c r="C276" s="5">
        <v>11</v>
      </c>
      <c r="D276" s="5" t="s">
        <v>239</v>
      </c>
      <c r="E276" s="5"/>
      <c r="F276" s="472"/>
    </row>
    <row r="277" spans="1:6" x14ac:dyDescent="0.2">
      <c r="A277" s="472">
        <v>44285</v>
      </c>
      <c r="B277" s="7">
        <v>6.0909090909090997</v>
      </c>
      <c r="C277" s="5">
        <v>11</v>
      </c>
      <c r="D277" s="5" t="s">
        <v>233</v>
      </c>
      <c r="E277" s="5"/>
      <c r="F277" s="472"/>
    </row>
    <row r="278" spans="1:6" x14ac:dyDescent="0.2">
      <c r="A278" s="472">
        <v>44286</v>
      </c>
      <c r="B278" s="7">
        <v>6</v>
      </c>
      <c r="C278" s="5">
        <v>11</v>
      </c>
      <c r="D278" s="5" t="s">
        <v>234</v>
      </c>
      <c r="E278" s="5"/>
      <c r="F278" s="472"/>
    </row>
    <row r="279" spans="1:6" x14ac:dyDescent="0.2">
      <c r="A279" s="472">
        <v>44287</v>
      </c>
      <c r="B279" s="7">
        <v>6</v>
      </c>
      <c r="C279" s="5">
        <v>0</v>
      </c>
      <c r="D279" s="5" t="s">
        <v>235</v>
      </c>
      <c r="E279" s="5"/>
      <c r="F279" s="472"/>
    </row>
    <row r="280" spans="1:6" x14ac:dyDescent="0.2">
      <c r="A280" s="472">
        <v>44288</v>
      </c>
      <c r="B280" s="7">
        <v>6</v>
      </c>
      <c r="C280" s="5">
        <v>10</v>
      </c>
      <c r="D280" s="5" t="s">
        <v>236</v>
      </c>
      <c r="E280" s="5"/>
      <c r="F280" s="472"/>
    </row>
    <row r="281" spans="1:6" x14ac:dyDescent="0.2">
      <c r="A281" s="472">
        <v>44289</v>
      </c>
      <c r="B281" s="7">
        <v>5.9</v>
      </c>
      <c r="C281" s="5">
        <v>10</v>
      </c>
      <c r="D281" s="5" t="s">
        <v>237</v>
      </c>
      <c r="E281" s="5"/>
      <c r="F281" s="472"/>
    </row>
    <row r="282" spans="1:6" x14ac:dyDescent="0.2">
      <c r="A282" s="472">
        <v>44290</v>
      </c>
      <c r="B282" s="7">
        <v>5.8</v>
      </c>
      <c r="C282" s="5">
        <v>10</v>
      </c>
      <c r="D282" s="5" t="s">
        <v>238</v>
      </c>
      <c r="E282" s="5"/>
      <c r="F282" s="472"/>
    </row>
    <row r="283" spans="1:6" x14ac:dyDescent="0.2">
      <c r="A283" s="472">
        <v>44291</v>
      </c>
      <c r="B283" s="7">
        <v>5.7</v>
      </c>
      <c r="C283" s="5">
        <v>10</v>
      </c>
      <c r="D283" s="5" t="s">
        <v>239</v>
      </c>
      <c r="E283" s="5"/>
      <c r="F283" s="472"/>
    </row>
    <row r="284" spans="1:6" x14ac:dyDescent="0.2">
      <c r="A284" s="472">
        <v>44292</v>
      </c>
      <c r="B284" s="7">
        <v>5.6</v>
      </c>
      <c r="C284" s="5">
        <v>10</v>
      </c>
      <c r="D284" s="5" t="s">
        <v>233</v>
      </c>
      <c r="E284" s="5"/>
      <c r="F284" s="472"/>
    </row>
    <row r="285" spans="1:6" x14ac:dyDescent="0.2">
      <c r="A285" s="472">
        <v>44293</v>
      </c>
      <c r="B285" s="7">
        <v>5.5</v>
      </c>
      <c r="C285" s="5">
        <v>10</v>
      </c>
      <c r="D285" s="5" t="s">
        <v>234</v>
      </c>
      <c r="E285" s="5"/>
      <c r="F285" s="472"/>
    </row>
    <row r="286" spans="1:6" x14ac:dyDescent="0.2">
      <c r="A286" s="472">
        <v>44294</v>
      </c>
      <c r="B286" s="7">
        <v>5.5</v>
      </c>
      <c r="C286" s="5">
        <v>10</v>
      </c>
      <c r="D286" s="5" t="s">
        <v>235</v>
      </c>
      <c r="E286" s="5"/>
      <c r="F286" s="472"/>
    </row>
    <row r="287" spans="1:6" x14ac:dyDescent="0.2">
      <c r="A287" s="472">
        <v>44295</v>
      </c>
      <c r="B287" s="7">
        <v>5.5</v>
      </c>
      <c r="C287" s="5">
        <v>10</v>
      </c>
      <c r="D287" s="5" t="s">
        <v>236</v>
      </c>
      <c r="E287" s="5"/>
      <c r="F287" s="472"/>
    </row>
    <row r="288" spans="1:6" x14ac:dyDescent="0.2">
      <c r="A288" s="472">
        <v>44296</v>
      </c>
      <c r="B288" s="7">
        <v>5.4</v>
      </c>
      <c r="C288" s="5">
        <v>10</v>
      </c>
      <c r="D288" s="5" t="s">
        <v>237</v>
      </c>
      <c r="E288" s="5"/>
      <c r="F288" s="472"/>
    </row>
    <row r="289" spans="1:6" x14ac:dyDescent="0.2">
      <c r="A289" s="472">
        <v>44297</v>
      </c>
      <c r="B289" s="7">
        <v>5.3</v>
      </c>
      <c r="C289" s="5">
        <v>10</v>
      </c>
      <c r="D289" s="5" t="s">
        <v>238</v>
      </c>
      <c r="E289" s="5"/>
      <c r="F289" s="472"/>
    </row>
    <row r="290" spans="1:6" x14ac:dyDescent="0.2">
      <c r="A290" s="472">
        <v>44298</v>
      </c>
      <c r="B290" s="7">
        <v>5.2</v>
      </c>
      <c r="C290" s="5">
        <v>10</v>
      </c>
      <c r="D290" s="5" t="s">
        <v>239</v>
      </c>
      <c r="E290" s="5"/>
      <c r="F290" s="472"/>
    </row>
    <row r="291" spans="1:6" x14ac:dyDescent="0.2">
      <c r="A291" s="472">
        <v>44299</v>
      </c>
      <c r="B291" s="7">
        <v>5.0999999999999996</v>
      </c>
      <c r="C291" s="5">
        <v>10</v>
      </c>
      <c r="D291" s="5" t="s">
        <v>233</v>
      </c>
      <c r="E291" s="5"/>
      <c r="F291" s="472"/>
    </row>
    <row r="292" spans="1:6" x14ac:dyDescent="0.2">
      <c r="A292" s="472">
        <v>44300</v>
      </c>
      <c r="B292" s="7">
        <v>5</v>
      </c>
      <c r="C292" s="5">
        <v>10</v>
      </c>
      <c r="D292" s="5" t="s">
        <v>234</v>
      </c>
      <c r="E292" s="5"/>
      <c r="F292" s="472"/>
    </row>
    <row r="293" spans="1:6" x14ac:dyDescent="0.2">
      <c r="A293" s="472">
        <v>44301</v>
      </c>
      <c r="B293" s="7">
        <v>5</v>
      </c>
      <c r="C293" s="5">
        <v>10</v>
      </c>
      <c r="D293" s="5" t="s">
        <v>235</v>
      </c>
      <c r="E293" s="5"/>
      <c r="F293" s="472"/>
    </row>
    <row r="294" spans="1:6" x14ac:dyDescent="0.2">
      <c r="A294" s="472">
        <v>44302</v>
      </c>
      <c r="B294" s="7">
        <v>5</v>
      </c>
      <c r="C294" s="5">
        <v>0</v>
      </c>
      <c r="D294" s="5" t="s">
        <v>236</v>
      </c>
      <c r="E294" s="5"/>
      <c r="F294" s="472"/>
    </row>
    <row r="295" spans="1:6" x14ac:dyDescent="0.2">
      <c r="A295" s="472">
        <v>44303</v>
      </c>
      <c r="B295" s="7">
        <v>4.9090909090909003</v>
      </c>
      <c r="C295" s="5">
        <v>11</v>
      </c>
      <c r="D295" s="5" t="s">
        <v>237</v>
      </c>
      <c r="E295" s="5"/>
      <c r="F295" s="472"/>
    </row>
    <row r="296" spans="1:6" x14ac:dyDescent="0.2">
      <c r="A296" s="472">
        <v>44304</v>
      </c>
      <c r="B296" s="7">
        <v>4.8181818181817997</v>
      </c>
      <c r="C296" s="5">
        <v>11</v>
      </c>
      <c r="D296" s="5" t="s">
        <v>238</v>
      </c>
      <c r="E296" s="5"/>
      <c r="F296" s="472"/>
    </row>
    <row r="297" spans="1:6" x14ac:dyDescent="0.2">
      <c r="A297" s="472">
        <v>44305</v>
      </c>
      <c r="B297" s="7">
        <v>4.7272727272727</v>
      </c>
      <c r="C297" s="5">
        <v>11</v>
      </c>
      <c r="D297" s="5" t="s">
        <v>239</v>
      </c>
      <c r="E297" s="5"/>
      <c r="F297" s="472"/>
    </row>
    <row r="298" spans="1:6" x14ac:dyDescent="0.2">
      <c r="A298" s="472">
        <v>44306</v>
      </c>
      <c r="B298" s="7">
        <v>4.6363636363636003</v>
      </c>
      <c r="C298" s="5">
        <v>11</v>
      </c>
      <c r="D298" s="5" t="s">
        <v>233</v>
      </c>
      <c r="E298" s="5"/>
      <c r="F298" s="472"/>
    </row>
    <row r="299" spans="1:6" x14ac:dyDescent="0.2">
      <c r="A299" s="472">
        <v>44307</v>
      </c>
      <c r="B299" s="7">
        <v>4.5454545454539996</v>
      </c>
      <c r="C299" s="5">
        <v>11</v>
      </c>
      <c r="D299" s="5" t="s">
        <v>234</v>
      </c>
      <c r="E299" s="5"/>
      <c r="F299" s="472"/>
    </row>
    <row r="300" spans="1:6" x14ac:dyDescent="0.2">
      <c r="A300" s="472">
        <v>44308</v>
      </c>
      <c r="B300" s="7">
        <v>4.5454545454539996</v>
      </c>
      <c r="C300" s="5">
        <v>11</v>
      </c>
      <c r="D300" s="5" t="s">
        <v>235</v>
      </c>
      <c r="E300" s="5"/>
      <c r="F300" s="472"/>
    </row>
    <row r="301" spans="1:6" x14ac:dyDescent="0.2">
      <c r="A301" s="472">
        <v>44309</v>
      </c>
      <c r="B301" s="7">
        <v>4.5454545454539996</v>
      </c>
      <c r="C301" s="5">
        <v>11</v>
      </c>
      <c r="D301" s="5" t="s">
        <v>236</v>
      </c>
      <c r="E301" s="5"/>
      <c r="F301" s="472"/>
    </row>
    <row r="302" spans="1:6" x14ac:dyDescent="0.2">
      <c r="A302" s="472">
        <v>44310</v>
      </c>
      <c r="B302" s="7">
        <v>4.4545454545455003</v>
      </c>
      <c r="C302" s="5">
        <v>11</v>
      </c>
      <c r="D302" s="5" t="s">
        <v>237</v>
      </c>
      <c r="E302" s="5"/>
      <c r="F302" s="472"/>
    </row>
    <row r="303" spans="1:6" x14ac:dyDescent="0.2">
      <c r="A303" s="472">
        <v>44311</v>
      </c>
      <c r="B303" s="7">
        <v>4.3636363636363997</v>
      </c>
      <c r="C303" s="5">
        <v>11</v>
      </c>
      <c r="D303" s="5" t="s">
        <v>238</v>
      </c>
      <c r="E303" s="5"/>
      <c r="F303" s="472"/>
    </row>
    <row r="304" spans="1:6" x14ac:dyDescent="0.2">
      <c r="A304" s="472">
        <v>44312</v>
      </c>
      <c r="B304" s="7">
        <v>4.2727272727273</v>
      </c>
      <c r="C304" s="5">
        <v>11</v>
      </c>
      <c r="D304" s="5" t="s">
        <v>239</v>
      </c>
      <c r="E304" s="5"/>
      <c r="F304" s="472"/>
    </row>
    <row r="305" spans="1:6" x14ac:dyDescent="0.2">
      <c r="A305" s="472">
        <v>44313</v>
      </c>
      <c r="B305" s="7">
        <v>4.1818181818182003</v>
      </c>
      <c r="C305" s="5">
        <v>11</v>
      </c>
      <c r="D305" s="5" t="s">
        <v>233</v>
      </c>
      <c r="E305" s="5"/>
      <c r="F305" s="472"/>
    </row>
    <row r="306" spans="1:6" x14ac:dyDescent="0.2">
      <c r="A306" s="472">
        <v>44314</v>
      </c>
      <c r="B306" s="7">
        <v>4.0909090909090997</v>
      </c>
      <c r="C306" s="5">
        <v>11</v>
      </c>
      <c r="D306" s="5" t="s">
        <v>234</v>
      </c>
      <c r="E306" s="5"/>
      <c r="F306" s="472"/>
    </row>
    <row r="307" spans="1:6" x14ac:dyDescent="0.2">
      <c r="A307" s="472">
        <v>44315</v>
      </c>
      <c r="B307" s="7">
        <v>4.0909090909090997</v>
      </c>
      <c r="C307" s="5">
        <v>11</v>
      </c>
      <c r="D307" s="5" t="s">
        <v>235</v>
      </c>
      <c r="E307" s="5"/>
      <c r="F307" s="472"/>
    </row>
    <row r="308" spans="1:6" x14ac:dyDescent="0.2">
      <c r="A308" s="472">
        <v>44316</v>
      </c>
      <c r="B308" s="7">
        <v>4.0909090909090997</v>
      </c>
      <c r="C308" s="5">
        <v>11</v>
      </c>
      <c r="D308" s="5" t="s">
        <v>236</v>
      </c>
      <c r="E308" s="5"/>
      <c r="F308" s="472"/>
    </row>
    <row r="309" spans="1:6" x14ac:dyDescent="0.2">
      <c r="A309" s="472">
        <v>44317</v>
      </c>
      <c r="B309" s="7">
        <v>4</v>
      </c>
      <c r="C309" s="5">
        <v>0</v>
      </c>
      <c r="D309" s="5" t="s">
        <v>237</v>
      </c>
      <c r="E309" s="5"/>
      <c r="F309" s="472"/>
    </row>
    <row r="310" spans="1:6" x14ac:dyDescent="0.2">
      <c r="A310" s="472">
        <v>44318</v>
      </c>
      <c r="B310" s="7">
        <v>3.9090909090908998</v>
      </c>
      <c r="C310" s="5">
        <v>11</v>
      </c>
      <c r="D310" s="5" t="s">
        <v>238</v>
      </c>
      <c r="E310" s="5"/>
      <c r="F310" s="472"/>
    </row>
    <row r="311" spans="1:6" x14ac:dyDescent="0.2">
      <c r="A311" s="472">
        <v>44319</v>
      </c>
      <c r="B311" s="7">
        <v>3.8181818181818001</v>
      </c>
      <c r="C311" s="5">
        <v>11</v>
      </c>
      <c r="D311" s="5" t="s">
        <v>239</v>
      </c>
      <c r="E311" s="5"/>
      <c r="F311" s="472"/>
    </row>
    <row r="312" spans="1:6" x14ac:dyDescent="0.2">
      <c r="A312" s="472">
        <v>44320</v>
      </c>
      <c r="B312" s="7">
        <v>3.7272727272727</v>
      </c>
      <c r="C312" s="5">
        <v>11</v>
      </c>
      <c r="D312" s="5" t="s">
        <v>233</v>
      </c>
      <c r="E312" s="5"/>
      <c r="F312" s="472"/>
    </row>
    <row r="313" spans="1:6" x14ac:dyDescent="0.2">
      <c r="A313" s="472">
        <v>44321</v>
      </c>
      <c r="B313" s="7">
        <v>3.6363636363635998</v>
      </c>
      <c r="C313" s="5">
        <v>11</v>
      </c>
      <c r="D313" s="5" t="s">
        <v>234</v>
      </c>
      <c r="E313" s="5"/>
      <c r="F313" s="472"/>
    </row>
    <row r="314" spans="1:6" x14ac:dyDescent="0.2">
      <c r="A314" s="472">
        <v>44322</v>
      </c>
      <c r="B314" s="7">
        <v>3.6363636363635998</v>
      </c>
      <c r="C314" s="5">
        <v>11</v>
      </c>
      <c r="D314" s="5" t="s">
        <v>235</v>
      </c>
      <c r="E314" s="5"/>
      <c r="F314" s="472"/>
    </row>
    <row r="315" spans="1:6" x14ac:dyDescent="0.2">
      <c r="A315" s="472">
        <v>44323</v>
      </c>
      <c r="B315" s="7">
        <v>3.6363636363635998</v>
      </c>
      <c r="C315" s="5">
        <v>11</v>
      </c>
      <c r="D315" s="5" t="s">
        <v>236</v>
      </c>
      <c r="E315" s="5"/>
      <c r="F315" s="472"/>
    </row>
    <row r="316" spans="1:6" x14ac:dyDescent="0.2">
      <c r="A316" s="472">
        <v>44324</v>
      </c>
      <c r="B316" s="7">
        <v>3.5454545454540001</v>
      </c>
      <c r="C316" s="5">
        <v>11</v>
      </c>
      <c r="D316" s="5" t="s">
        <v>237</v>
      </c>
      <c r="E316" s="5"/>
      <c r="F316" s="472"/>
    </row>
    <row r="317" spans="1:6" x14ac:dyDescent="0.2">
      <c r="A317" s="472">
        <v>44325</v>
      </c>
      <c r="B317" s="7">
        <v>3.4545454545454999</v>
      </c>
      <c r="C317" s="5">
        <v>11</v>
      </c>
      <c r="D317" s="5" t="s">
        <v>238</v>
      </c>
      <c r="E317" s="5"/>
      <c r="F317" s="472"/>
    </row>
    <row r="318" spans="1:6" x14ac:dyDescent="0.2">
      <c r="A318" s="472">
        <v>44326</v>
      </c>
      <c r="B318" s="7">
        <v>3.3636363636364002</v>
      </c>
      <c r="C318" s="5">
        <v>11</v>
      </c>
      <c r="D318" s="5" t="s">
        <v>239</v>
      </c>
      <c r="E318" s="5"/>
      <c r="F318" s="472"/>
    </row>
    <row r="319" spans="1:6" x14ac:dyDescent="0.2">
      <c r="A319" s="472">
        <v>44327</v>
      </c>
      <c r="B319" s="7">
        <v>3.2727272727273</v>
      </c>
      <c r="C319" s="5">
        <v>11</v>
      </c>
      <c r="D319" s="5" t="s">
        <v>233</v>
      </c>
      <c r="E319" s="5"/>
      <c r="F319" s="472"/>
    </row>
    <row r="320" spans="1:6" x14ac:dyDescent="0.2">
      <c r="A320" s="472">
        <v>44328</v>
      </c>
      <c r="B320" s="7">
        <v>3.1818181818181999</v>
      </c>
      <c r="C320" s="5">
        <v>11</v>
      </c>
      <c r="D320" s="5" t="s">
        <v>234</v>
      </c>
      <c r="E320" s="5"/>
      <c r="F320" s="472"/>
    </row>
    <row r="321" spans="1:6" x14ac:dyDescent="0.2">
      <c r="A321" s="472">
        <v>44329</v>
      </c>
      <c r="B321" s="7">
        <v>3.1818181818181999</v>
      </c>
      <c r="C321" s="5">
        <v>11</v>
      </c>
      <c r="D321" s="5" t="s">
        <v>235</v>
      </c>
      <c r="E321" s="5"/>
      <c r="F321" s="472"/>
    </row>
    <row r="322" spans="1:6" x14ac:dyDescent="0.2">
      <c r="A322" s="472">
        <v>44330</v>
      </c>
      <c r="B322" s="7">
        <v>3.1818181818181999</v>
      </c>
      <c r="C322" s="5">
        <v>11</v>
      </c>
      <c r="D322" s="5" t="s">
        <v>236</v>
      </c>
      <c r="E322" s="5"/>
      <c r="F322" s="472"/>
    </row>
    <row r="323" spans="1:6" x14ac:dyDescent="0.2">
      <c r="A323" s="472">
        <v>44331</v>
      </c>
      <c r="B323" s="7">
        <v>3.0909090909091002</v>
      </c>
      <c r="C323" s="5">
        <v>11</v>
      </c>
      <c r="D323" s="5" t="s">
        <v>237</v>
      </c>
      <c r="E323" s="5"/>
      <c r="F323" s="472"/>
    </row>
    <row r="324" spans="1:6" x14ac:dyDescent="0.2">
      <c r="A324" s="472">
        <v>44332</v>
      </c>
      <c r="B324" s="7">
        <v>3</v>
      </c>
      <c r="C324" s="5">
        <v>0</v>
      </c>
      <c r="D324" s="5" t="s">
        <v>238</v>
      </c>
      <c r="E324" s="5"/>
      <c r="F324" s="472"/>
    </row>
    <row r="325" spans="1:6" x14ac:dyDescent="0.2">
      <c r="A325" s="472">
        <v>44333</v>
      </c>
      <c r="B325" s="7">
        <v>2.9166666666666998</v>
      </c>
      <c r="C325" s="5">
        <v>12</v>
      </c>
      <c r="D325" s="5" t="s">
        <v>239</v>
      </c>
      <c r="E325" s="5"/>
      <c r="F325" s="472"/>
    </row>
    <row r="326" spans="1:6" x14ac:dyDescent="0.2">
      <c r="A326" s="472">
        <v>44334</v>
      </c>
      <c r="B326" s="7">
        <v>2.8333333333333002</v>
      </c>
      <c r="C326" s="5">
        <v>12</v>
      </c>
      <c r="D326" s="5" t="s">
        <v>233</v>
      </c>
      <c r="E326" s="5"/>
      <c r="F326" s="472"/>
    </row>
    <row r="327" spans="1:6" x14ac:dyDescent="0.2">
      <c r="A327" s="472">
        <v>44335</v>
      </c>
      <c r="B327" s="7">
        <v>2.75</v>
      </c>
      <c r="C327" s="5">
        <v>12</v>
      </c>
      <c r="D327" s="5" t="s">
        <v>234</v>
      </c>
      <c r="E327" s="5"/>
      <c r="F327" s="472"/>
    </row>
    <row r="328" spans="1:6" x14ac:dyDescent="0.2">
      <c r="A328" s="472">
        <v>44336</v>
      </c>
      <c r="B328" s="7">
        <v>2.75</v>
      </c>
      <c r="C328" s="5">
        <v>12</v>
      </c>
      <c r="D328" s="5" t="s">
        <v>235</v>
      </c>
      <c r="E328" s="5"/>
      <c r="F328" s="472"/>
    </row>
    <row r="329" spans="1:6" x14ac:dyDescent="0.2">
      <c r="A329" s="472">
        <v>44337</v>
      </c>
      <c r="B329" s="7">
        <v>2.75</v>
      </c>
      <c r="C329" s="5">
        <v>12</v>
      </c>
      <c r="D329" s="5" t="s">
        <v>236</v>
      </c>
      <c r="E329" s="5"/>
      <c r="F329" s="472"/>
    </row>
    <row r="330" spans="1:6" x14ac:dyDescent="0.2">
      <c r="A330" s="472">
        <v>44338</v>
      </c>
      <c r="B330" s="7">
        <v>2.6666666666666998</v>
      </c>
      <c r="C330" s="5">
        <v>12</v>
      </c>
      <c r="D330" s="5" t="s">
        <v>237</v>
      </c>
      <c r="E330" s="5"/>
      <c r="F330" s="472"/>
    </row>
    <row r="331" spans="1:6" x14ac:dyDescent="0.2">
      <c r="A331" s="472">
        <v>44339</v>
      </c>
      <c r="B331" s="7">
        <v>2.5833333333333002</v>
      </c>
      <c r="C331" s="5">
        <v>12</v>
      </c>
      <c r="D331" s="5" t="s">
        <v>238</v>
      </c>
      <c r="E331" s="5"/>
      <c r="F331" s="472"/>
    </row>
    <row r="332" spans="1:6" x14ac:dyDescent="0.2">
      <c r="A332" s="472">
        <v>44340</v>
      </c>
      <c r="B332" s="7">
        <v>2.5</v>
      </c>
      <c r="C332" s="5">
        <v>12</v>
      </c>
      <c r="D332" s="5" t="s">
        <v>239</v>
      </c>
      <c r="E332" s="5"/>
      <c r="F332" s="472"/>
    </row>
    <row r="333" spans="1:6" x14ac:dyDescent="0.2">
      <c r="A333" s="472">
        <v>44341</v>
      </c>
      <c r="B333" s="7">
        <v>2.4166666666666998</v>
      </c>
      <c r="C333" s="5">
        <v>12</v>
      </c>
      <c r="D333" s="5" t="s">
        <v>233</v>
      </c>
      <c r="E333" s="5"/>
      <c r="F333" s="472"/>
    </row>
    <row r="334" spans="1:6" x14ac:dyDescent="0.2">
      <c r="A334" s="472">
        <v>44342</v>
      </c>
      <c r="B334" s="7">
        <v>2.3333333333333002</v>
      </c>
      <c r="C334" s="5">
        <v>12</v>
      </c>
      <c r="D334" s="5" t="s">
        <v>234</v>
      </c>
      <c r="E334" s="5"/>
      <c r="F334" s="472"/>
    </row>
    <row r="335" spans="1:6" x14ac:dyDescent="0.2">
      <c r="A335" s="472">
        <v>44343</v>
      </c>
      <c r="B335" s="7">
        <v>2.3333333333333002</v>
      </c>
      <c r="C335" s="5">
        <v>12</v>
      </c>
      <c r="D335" s="5" t="s">
        <v>235</v>
      </c>
      <c r="E335" s="5"/>
      <c r="F335" s="472"/>
    </row>
    <row r="336" spans="1:6" x14ac:dyDescent="0.2">
      <c r="A336" s="472">
        <v>44344</v>
      </c>
      <c r="B336" s="7">
        <v>2.3333333333333002</v>
      </c>
      <c r="C336" s="5">
        <v>12</v>
      </c>
      <c r="D336" s="5" t="s">
        <v>236</v>
      </c>
      <c r="E336" s="5"/>
      <c r="F336" s="472"/>
    </row>
    <row r="337" spans="1:6" x14ac:dyDescent="0.2">
      <c r="A337" s="472">
        <v>44345</v>
      </c>
      <c r="B337" s="7">
        <v>2.25</v>
      </c>
      <c r="C337" s="5">
        <v>12</v>
      </c>
      <c r="D337" s="5" t="s">
        <v>237</v>
      </c>
      <c r="E337" s="5"/>
      <c r="F337" s="472"/>
    </row>
    <row r="338" spans="1:6" x14ac:dyDescent="0.2">
      <c r="A338" s="472">
        <v>44346</v>
      </c>
      <c r="B338" s="7">
        <v>2.1666666666659999</v>
      </c>
      <c r="C338" s="5">
        <v>12</v>
      </c>
      <c r="D338" s="5" t="s">
        <v>238</v>
      </c>
      <c r="E338" s="5"/>
      <c r="F338" s="472"/>
    </row>
    <row r="339" spans="1:6" x14ac:dyDescent="0.2">
      <c r="A339" s="472">
        <v>44347</v>
      </c>
      <c r="B339" s="7">
        <v>2.0833333333333002</v>
      </c>
      <c r="C339" s="5">
        <v>12</v>
      </c>
      <c r="D339" s="5" t="s">
        <v>239</v>
      </c>
      <c r="E339" s="5"/>
      <c r="F339" s="472"/>
    </row>
    <row r="340" spans="1:6" x14ac:dyDescent="0.2">
      <c r="A340" s="472">
        <v>44348</v>
      </c>
      <c r="B340" s="7">
        <v>2</v>
      </c>
      <c r="C340" s="5">
        <v>0</v>
      </c>
      <c r="D340" s="5" t="s">
        <v>233</v>
      </c>
      <c r="E340" s="5"/>
      <c r="F340" s="472"/>
    </row>
    <row r="341" spans="1:6" x14ac:dyDescent="0.2">
      <c r="A341" s="472">
        <v>44349</v>
      </c>
      <c r="B341" s="7">
        <v>1.9090909090909001</v>
      </c>
      <c r="C341" s="5">
        <v>11</v>
      </c>
      <c r="D341" s="5" t="s">
        <v>234</v>
      </c>
      <c r="E341" s="5"/>
      <c r="F341" s="472"/>
    </row>
    <row r="342" spans="1:6" x14ac:dyDescent="0.2">
      <c r="A342" s="472">
        <v>44350</v>
      </c>
      <c r="B342" s="7">
        <v>1.9090909090909001</v>
      </c>
      <c r="C342" s="5">
        <v>11</v>
      </c>
      <c r="D342" s="5" t="s">
        <v>235</v>
      </c>
      <c r="E342" s="5"/>
      <c r="F342" s="472"/>
    </row>
    <row r="343" spans="1:6" x14ac:dyDescent="0.2">
      <c r="A343" s="472">
        <v>44351</v>
      </c>
      <c r="B343" s="7">
        <v>1.9090909090909001</v>
      </c>
      <c r="C343" s="5">
        <v>11</v>
      </c>
      <c r="D343" s="5" t="s">
        <v>236</v>
      </c>
      <c r="E343" s="5"/>
      <c r="F343" s="472"/>
    </row>
    <row r="344" spans="1:6" x14ac:dyDescent="0.2">
      <c r="A344" s="472">
        <v>44352</v>
      </c>
      <c r="B344" s="7">
        <v>1.8181818181817999</v>
      </c>
      <c r="C344" s="5">
        <v>11</v>
      </c>
      <c r="D344" s="5" t="s">
        <v>237</v>
      </c>
      <c r="E344" s="5"/>
      <c r="F344" s="472"/>
    </row>
    <row r="345" spans="1:6" x14ac:dyDescent="0.2">
      <c r="A345" s="472">
        <v>44353</v>
      </c>
      <c r="B345" s="7">
        <v>1.7272727272727</v>
      </c>
      <c r="C345" s="5">
        <v>11</v>
      </c>
      <c r="D345" s="5" t="s">
        <v>238</v>
      </c>
      <c r="E345" s="5"/>
      <c r="F345" s="472"/>
    </row>
    <row r="346" spans="1:6" x14ac:dyDescent="0.2">
      <c r="A346" s="472">
        <v>44354</v>
      </c>
      <c r="B346" s="7">
        <v>1.6363636363636</v>
      </c>
      <c r="C346" s="5">
        <v>11</v>
      </c>
      <c r="D346" s="5" t="s">
        <v>239</v>
      </c>
      <c r="E346" s="5"/>
      <c r="F346" s="472"/>
    </row>
    <row r="347" spans="1:6" x14ac:dyDescent="0.2">
      <c r="A347" s="472">
        <v>44355</v>
      </c>
      <c r="B347" s="7">
        <v>1.5454545454544999</v>
      </c>
      <c r="C347" s="5">
        <v>11</v>
      </c>
      <c r="D347" s="5" t="s">
        <v>233</v>
      </c>
      <c r="E347" s="5"/>
      <c r="F347" s="472"/>
    </row>
    <row r="348" spans="1:6" x14ac:dyDescent="0.2">
      <c r="A348" s="472">
        <v>44356</v>
      </c>
      <c r="B348" s="7">
        <v>1.4545454545455001</v>
      </c>
      <c r="C348" s="5">
        <v>11</v>
      </c>
      <c r="D348" s="5" t="s">
        <v>234</v>
      </c>
      <c r="E348" s="5"/>
      <c r="F348" s="472"/>
    </row>
    <row r="349" spans="1:6" x14ac:dyDescent="0.2">
      <c r="A349" s="472">
        <v>44357</v>
      </c>
      <c r="B349" s="7">
        <v>1.4545454545455001</v>
      </c>
      <c r="C349" s="5">
        <v>11</v>
      </c>
      <c r="D349" s="5" t="s">
        <v>235</v>
      </c>
      <c r="E349" s="5"/>
      <c r="F349" s="472"/>
    </row>
    <row r="350" spans="1:6" x14ac:dyDescent="0.2">
      <c r="A350" s="472">
        <v>44358</v>
      </c>
      <c r="B350" s="7">
        <v>1.4545454545455001</v>
      </c>
      <c r="C350" s="5">
        <v>11</v>
      </c>
      <c r="D350" s="5" t="s">
        <v>236</v>
      </c>
      <c r="E350" s="5"/>
      <c r="F350" s="472"/>
    </row>
    <row r="351" spans="1:6" x14ac:dyDescent="0.2">
      <c r="A351" s="472">
        <v>44359</v>
      </c>
      <c r="B351" s="7">
        <v>1.3636363636364</v>
      </c>
      <c r="C351" s="5">
        <v>11</v>
      </c>
      <c r="D351" s="5" t="s">
        <v>237</v>
      </c>
      <c r="E351" s="5"/>
      <c r="F351" s="472"/>
    </row>
    <row r="352" spans="1:6" x14ac:dyDescent="0.2">
      <c r="A352" s="472">
        <v>44360</v>
      </c>
      <c r="B352" s="7">
        <v>1.2727272727273</v>
      </c>
      <c r="C352" s="5">
        <v>11</v>
      </c>
      <c r="D352" s="5" t="s">
        <v>238</v>
      </c>
      <c r="E352" s="5"/>
      <c r="F352" s="472"/>
    </row>
    <row r="353" spans="1:6" x14ac:dyDescent="0.2">
      <c r="A353" s="472">
        <v>44361</v>
      </c>
      <c r="B353" s="7">
        <v>1.1818181818182001</v>
      </c>
      <c r="C353" s="5">
        <v>11</v>
      </c>
      <c r="D353" s="5" t="s">
        <v>239</v>
      </c>
      <c r="E353" s="5"/>
      <c r="F353" s="472"/>
    </row>
    <row r="354" spans="1:6" x14ac:dyDescent="0.2">
      <c r="A354" s="472">
        <v>44362</v>
      </c>
      <c r="B354" s="7">
        <v>1.0909090909090999</v>
      </c>
      <c r="C354" s="5">
        <v>11</v>
      </c>
      <c r="D354" s="5" t="s">
        <v>233</v>
      </c>
      <c r="E354" s="5"/>
      <c r="F354" s="472"/>
    </row>
    <row r="355" spans="1:6" x14ac:dyDescent="0.2">
      <c r="A355" s="472">
        <v>44363</v>
      </c>
      <c r="B355" s="7">
        <v>1</v>
      </c>
      <c r="C355" s="5">
        <v>0</v>
      </c>
      <c r="D355" s="5" t="s">
        <v>234</v>
      </c>
      <c r="E355" s="5"/>
      <c r="F355" s="472"/>
    </row>
    <row r="356" spans="1:6" x14ac:dyDescent="0.2">
      <c r="A356" s="472">
        <v>44364</v>
      </c>
      <c r="B356" s="7">
        <v>1</v>
      </c>
      <c r="C356" s="5">
        <v>11</v>
      </c>
      <c r="D356" s="5" t="s">
        <v>235</v>
      </c>
      <c r="E356" s="5"/>
      <c r="F356" s="472"/>
    </row>
    <row r="357" spans="1:6" x14ac:dyDescent="0.2">
      <c r="A357" s="472">
        <v>44365</v>
      </c>
      <c r="B357" s="7">
        <v>1</v>
      </c>
      <c r="C357" s="5">
        <v>11</v>
      </c>
      <c r="D357" s="5" t="s">
        <v>236</v>
      </c>
      <c r="E357" s="5"/>
      <c r="F357" s="472"/>
    </row>
    <row r="358" spans="1:6" x14ac:dyDescent="0.2">
      <c r="A358" s="472">
        <v>44366</v>
      </c>
      <c r="B358" s="7">
        <v>0.90909090909089996</v>
      </c>
      <c r="C358" s="5">
        <v>11</v>
      </c>
      <c r="D358" s="5" t="s">
        <v>237</v>
      </c>
      <c r="E358" s="5"/>
      <c r="F358" s="472"/>
    </row>
    <row r="359" spans="1:6" x14ac:dyDescent="0.2">
      <c r="A359" s="472">
        <v>44367</v>
      </c>
      <c r="B359" s="7">
        <v>0.81818181818180002</v>
      </c>
      <c r="C359" s="5">
        <v>11</v>
      </c>
      <c r="D359" s="5" t="s">
        <v>238</v>
      </c>
      <c r="E359" s="5"/>
      <c r="F359" s="472"/>
    </row>
    <row r="360" spans="1:6" x14ac:dyDescent="0.2">
      <c r="A360" s="472">
        <v>44368</v>
      </c>
      <c r="B360" s="7">
        <v>0.72727272727269998</v>
      </c>
      <c r="C360" s="5">
        <v>11</v>
      </c>
      <c r="D360" s="5" t="s">
        <v>239</v>
      </c>
      <c r="E360" s="5"/>
      <c r="F360" s="472"/>
    </row>
    <row r="361" spans="1:6" x14ac:dyDescent="0.2">
      <c r="A361" s="472">
        <v>44369</v>
      </c>
      <c r="B361" s="7">
        <v>0.63636363636360005</v>
      </c>
      <c r="C361" s="5">
        <v>11</v>
      </c>
      <c r="D361" s="5" t="s">
        <v>233</v>
      </c>
      <c r="E361" s="5"/>
      <c r="F361" s="472"/>
    </row>
    <row r="362" spans="1:6" x14ac:dyDescent="0.2">
      <c r="A362" s="472">
        <v>44370</v>
      </c>
      <c r="B362" s="7">
        <v>0.54545454545450001</v>
      </c>
      <c r="C362" s="5">
        <v>11</v>
      </c>
      <c r="D362" s="5" t="s">
        <v>234</v>
      </c>
      <c r="E362" s="5"/>
      <c r="F362" s="472"/>
    </row>
    <row r="363" spans="1:6" x14ac:dyDescent="0.2">
      <c r="A363" s="472">
        <v>44371</v>
      </c>
      <c r="B363" s="7">
        <v>0.54545454545450001</v>
      </c>
      <c r="C363" s="5">
        <v>11</v>
      </c>
      <c r="D363" s="5" t="s">
        <v>235</v>
      </c>
      <c r="E363" s="5"/>
      <c r="F363" s="472"/>
    </row>
    <row r="364" spans="1:6" x14ac:dyDescent="0.2">
      <c r="A364" s="472">
        <v>44372</v>
      </c>
      <c r="B364" s="7">
        <v>0.54545454545450001</v>
      </c>
      <c r="C364" s="5">
        <v>11</v>
      </c>
      <c r="D364" s="5" t="s">
        <v>236</v>
      </c>
      <c r="E364" s="5"/>
      <c r="F364" s="472"/>
    </row>
    <row r="365" spans="1:6" x14ac:dyDescent="0.2">
      <c r="A365" s="472">
        <v>44373</v>
      </c>
      <c r="B365" s="7">
        <v>0.45454545454549999</v>
      </c>
      <c r="C365" s="5">
        <v>11</v>
      </c>
      <c r="D365" s="5" t="s">
        <v>237</v>
      </c>
      <c r="E365" s="5"/>
      <c r="F365" s="472"/>
    </row>
    <row r="366" spans="1:6" x14ac:dyDescent="0.2">
      <c r="A366" s="472">
        <v>44374</v>
      </c>
      <c r="B366" s="7">
        <v>0.36363636363640001</v>
      </c>
      <c r="C366" s="5">
        <v>11</v>
      </c>
      <c r="D366" s="5" t="s">
        <v>238</v>
      </c>
      <c r="E366" s="5"/>
      <c r="F366" s="472"/>
    </row>
    <row r="367" spans="1:6" x14ac:dyDescent="0.2">
      <c r="A367" s="472">
        <v>44375</v>
      </c>
      <c r="B367" s="7">
        <v>0.27272727272730002</v>
      </c>
      <c r="C367" s="5">
        <v>11</v>
      </c>
      <c r="D367" s="5" t="s">
        <v>239</v>
      </c>
      <c r="E367" s="5"/>
      <c r="F367" s="472"/>
    </row>
    <row r="368" spans="1:6" x14ac:dyDescent="0.2">
      <c r="A368" s="472">
        <v>44376</v>
      </c>
      <c r="B368" s="7">
        <v>0.1818181818182</v>
      </c>
      <c r="C368" s="5">
        <v>11</v>
      </c>
      <c r="D368" s="5" t="s">
        <v>233</v>
      </c>
      <c r="E368" s="5"/>
      <c r="F368" s="472"/>
    </row>
    <row r="369" spans="1:6" x14ac:dyDescent="0.2">
      <c r="A369" s="472">
        <v>44377</v>
      </c>
      <c r="B369" s="7">
        <v>9.0909090909100002E-2</v>
      </c>
      <c r="C369" s="5">
        <v>11</v>
      </c>
      <c r="D369" s="5" t="s">
        <v>234</v>
      </c>
      <c r="E369" s="5"/>
      <c r="F369" s="472"/>
    </row>
    <row r="370" spans="1:6" x14ac:dyDescent="0.2">
      <c r="A370" s="472">
        <v>44378</v>
      </c>
      <c r="B370" s="7">
        <v>0</v>
      </c>
      <c r="C370" s="5"/>
      <c r="D370" s="5"/>
      <c r="E370" s="5"/>
      <c r="F370" s="472"/>
    </row>
    <row r="371" spans="1:6" x14ac:dyDescent="0.2">
      <c r="D371" s="5"/>
      <c r="E371" s="5"/>
    </row>
    <row r="372" spans="1:6" x14ac:dyDescent="0.2">
      <c r="D372" s="5"/>
      <c r="E372" s="5"/>
    </row>
    <row r="373" spans="1:6" x14ac:dyDescent="0.2">
      <c r="D373" s="5"/>
      <c r="E373" s="5"/>
    </row>
    <row r="374" spans="1:6" x14ac:dyDescent="0.2">
      <c r="D374" s="5"/>
      <c r="E374" s="5"/>
    </row>
    <row r="375" spans="1:6" x14ac:dyDescent="0.2">
      <c r="D375" s="5"/>
      <c r="E375" s="5"/>
    </row>
    <row r="376" spans="1:6" x14ac:dyDescent="0.2">
      <c r="D376" s="5"/>
      <c r="E376" s="5"/>
    </row>
    <row r="377" spans="1:6" x14ac:dyDescent="0.2">
      <c r="D377" s="5"/>
      <c r="E377" s="5"/>
    </row>
    <row r="378" spans="1:6" x14ac:dyDescent="0.2">
      <c r="D378" s="5"/>
      <c r="E378" s="5"/>
    </row>
    <row r="379" spans="1:6" x14ac:dyDescent="0.2">
      <c r="D379" s="5"/>
      <c r="E379" s="5"/>
    </row>
    <row r="380" spans="1:6" x14ac:dyDescent="0.2">
      <c r="D380" s="5"/>
      <c r="E380" s="5"/>
    </row>
    <row r="381" spans="1:6" x14ac:dyDescent="0.2">
      <c r="D381" s="5"/>
      <c r="E381" s="5"/>
    </row>
    <row r="382" spans="1:6" x14ac:dyDescent="0.2">
      <c r="D382" s="5"/>
      <c r="E382" s="5"/>
    </row>
    <row r="383" spans="1:6" x14ac:dyDescent="0.2">
      <c r="D383" s="5"/>
      <c r="E383" s="5"/>
    </row>
    <row r="384" spans="1:6" x14ac:dyDescent="0.2">
      <c r="D384" s="5"/>
      <c r="E384" s="5"/>
    </row>
    <row r="385" spans="4:5" x14ac:dyDescent="0.2">
      <c r="D385" s="5"/>
      <c r="E385" s="5"/>
    </row>
    <row r="386" spans="4:5" x14ac:dyDescent="0.2">
      <c r="D386" s="5"/>
      <c r="E386" s="5"/>
    </row>
  </sheetData>
  <sheetProtection algorithmName="SHA-512" hashValue="C52Phiv5+15fDQE18JNg0Wd1swFBXZmuDPoSJWjhzpJMREYvFLN0q1s4VlGpsygroYlK12ElzFLxbHuHHXZ9Lg==" saltValue="UM/0aKslS0m50wLZB04KZg==" spinCount="100000" sheet="1" objects="1" scenarios="1"/>
  <phoneticPr fontId="7"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10"/>
    <pageSetUpPr fitToPage="1"/>
  </sheetPr>
  <dimension ref="A1:AI103"/>
  <sheetViews>
    <sheetView showGridLines="0" tabSelected="1" zoomScale="85" zoomScaleNormal="85" workbookViewId="0">
      <pane ySplit="13" topLeftCell="A14" activePane="bottomLeft" state="frozen"/>
      <selection activeCell="N6" sqref="N6"/>
      <selection pane="bottomLeft" activeCell="U36" sqref="U36"/>
    </sheetView>
  </sheetViews>
  <sheetFormatPr defaultColWidth="9.140625" defaultRowHeight="12" outlineLevelRow="1" x14ac:dyDescent="0.2"/>
  <cols>
    <col min="1" max="1" width="5" style="1" customWidth="1"/>
    <col min="2" max="2" width="6.42578125" style="1" customWidth="1"/>
    <col min="3" max="3" width="12.7109375" style="1" customWidth="1"/>
    <col min="4" max="4" width="26" style="1" customWidth="1"/>
    <col min="5" max="5" width="1.85546875" style="1" customWidth="1"/>
    <col min="6" max="6" width="17.28515625" style="1" customWidth="1"/>
    <col min="7" max="7" width="1" style="1" customWidth="1"/>
    <col min="8" max="8" width="7.5703125" style="1" bestFit="1" customWidth="1"/>
    <col min="9" max="9" width="1.42578125" style="1" customWidth="1"/>
    <col min="10" max="10" width="16" style="1" customWidth="1"/>
    <col min="11" max="11" width="0.7109375" style="1" customWidth="1"/>
    <col min="12" max="12" width="9.28515625" style="1" customWidth="1"/>
    <col min="13" max="13" width="0.85546875" style="1" customWidth="1"/>
    <col min="14" max="14" width="19.85546875" style="1" customWidth="1"/>
    <col min="15" max="15" width="1" style="1" customWidth="1"/>
    <col min="16" max="16" width="11.42578125" style="1" customWidth="1"/>
    <col min="17" max="17" width="15.28515625" style="1" customWidth="1"/>
    <col min="18" max="25" width="9" style="1" customWidth="1"/>
    <col min="26" max="26" width="2.85546875" style="1" customWidth="1"/>
    <col min="27" max="27" width="9.5703125" style="1" hidden="1" customWidth="1"/>
    <col min="28" max="28" width="9.28515625" style="1" hidden="1" customWidth="1"/>
    <col min="29" max="31" width="4.85546875" style="1" hidden="1" customWidth="1"/>
    <col min="32" max="32" width="5.7109375" style="1" hidden="1" customWidth="1"/>
    <col min="33" max="34" width="9.5703125" style="1" hidden="1" customWidth="1"/>
    <col min="35" max="35" width="9.140625" style="1" hidden="1" customWidth="1"/>
    <col min="36" max="36" width="0" style="1" hidden="1" customWidth="1"/>
    <col min="37" max="16384" width="9.140625" style="1"/>
  </cols>
  <sheetData>
    <row r="1" spans="1:35" ht="15" hidden="1" x14ac:dyDescent="0.35">
      <c r="A1" s="297" t="s">
        <v>603</v>
      </c>
      <c r="B1" s="298"/>
      <c r="C1" s="298"/>
      <c r="D1" s="298"/>
      <c r="E1" s="298"/>
      <c r="F1" s="298"/>
      <c r="G1" s="298"/>
      <c r="H1" s="298"/>
      <c r="I1" s="298"/>
      <c r="J1" s="298"/>
      <c r="K1" s="298"/>
      <c r="L1" s="298"/>
      <c r="M1" s="298"/>
      <c r="N1" s="299"/>
    </row>
    <row r="2" spans="1:35" s="198" customFormat="1" ht="15.75" thickBot="1" x14ac:dyDescent="0.4">
      <c r="A2" s="296" t="s">
        <v>1292</v>
      </c>
      <c r="B2" s="175"/>
      <c r="C2" s="175"/>
      <c r="D2" s="175"/>
      <c r="E2" s="175"/>
      <c r="F2" s="175"/>
      <c r="G2" s="175"/>
      <c r="H2" s="175"/>
      <c r="I2" s="175"/>
      <c r="J2" s="175"/>
      <c r="K2" s="175"/>
      <c r="L2" s="175"/>
      <c r="M2" s="175"/>
      <c r="N2" s="318" t="s">
        <v>577</v>
      </c>
      <c r="P2" s="1" t="str">
        <f>IF(OR($D$12="Yes",$N$6="New"),"ACCT NAME","")</f>
        <v>ACCT NAME</v>
      </c>
      <c r="Q2" s="1172"/>
      <c r="Z2" s="326"/>
      <c r="AA2" s="1" t="s">
        <v>1063</v>
      </c>
      <c r="AB2" s="1" t="s">
        <v>610</v>
      </c>
      <c r="AC2" s="1">
        <f>J6</f>
        <v>0</v>
      </c>
      <c r="AD2" s="1">
        <f>L6</f>
        <v>0</v>
      </c>
      <c r="AE2" s="1" t="str">
        <f>N6</f>
        <v>NEW</v>
      </c>
      <c r="AF2" s="167" t="str">
        <f>AC2&amp;"  "&amp;D8&amp;"  "&amp;AD2&amp;"  "&amp;AE2</f>
        <v>0  0  0  NEW</v>
      </c>
      <c r="AH2" s="1"/>
      <c r="AI2" s="198" t="s">
        <v>3849</v>
      </c>
    </row>
    <row r="3" spans="1:35" ht="4.5" customHeight="1" thickTop="1" x14ac:dyDescent="0.35">
      <c r="A3" s="1254"/>
      <c r="B3" s="1254"/>
      <c r="C3" s="1254"/>
      <c r="D3" s="1254"/>
      <c r="E3" s="1254"/>
      <c r="F3" s="1254"/>
      <c r="G3" s="1254"/>
      <c r="H3" s="1254"/>
      <c r="I3" s="1254"/>
      <c r="J3" s="1254"/>
      <c r="K3" s="1254"/>
      <c r="L3" s="1254"/>
      <c r="M3" s="1254"/>
      <c r="N3" s="1254"/>
      <c r="Z3" s="327"/>
      <c r="AA3" s="198"/>
      <c r="AB3" s="198"/>
      <c r="AC3" s="198"/>
      <c r="AD3" s="198"/>
      <c r="AE3" s="198"/>
      <c r="AF3" s="167"/>
      <c r="AH3" s="1" t="s">
        <v>632</v>
      </c>
      <c r="AI3" s="1" t="s">
        <v>3850</v>
      </c>
    </row>
    <row r="4" spans="1:35" x14ac:dyDescent="0.2">
      <c r="A4" s="1256" t="s">
        <v>359</v>
      </c>
      <c r="B4" s="1256"/>
      <c r="C4" s="1257"/>
      <c r="D4" s="1212" t="s">
        <v>248</v>
      </c>
      <c r="E4" s="1213"/>
      <c r="F4" s="1263" t="s">
        <v>570</v>
      </c>
      <c r="G4" s="1263"/>
      <c r="H4" s="1263"/>
      <c r="I4" s="1216"/>
      <c r="J4" s="1266">
        <f>IFERROR(VLOOKUP($N$6,'Acct Detail'!B:AB,7,FALSE),"")</f>
        <v>0</v>
      </c>
      <c r="K4" s="1267"/>
      <c r="L4" s="1268"/>
      <c r="M4" s="173"/>
      <c r="N4" s="1132">
        <f>IFERROR(VLOOKUP($N$6,'Acct Detail'!B:AB,6,FALSE),"")</f>
        <v>0</v>
      </c>
      <c r="P4" s="1" t="str">
        <f>IF(OR($D$12="Yes",$N$6="New"),"WORKTAG","")</f>
        <v>WORKTAG</v>
      </c>
      <c r="Q4" s="765"/>
      <c r="T4" s="1172"/>
      <c r="U4" s="1172"/>
      <c r="V4" s="1172"/>
      <c r="W4" s="1172"/>
      <c r="X4" s="1172"/>
      <c r="Y4" s="1172"/>
      <c r="Z4" s="327"/>
      <c r="AA4" s="756" t="s">
        <v>3853</v>
      </c>
      <c r="AH4" s="1" t="s">
        <v>639</v>
      </c>
      <c r="AI4" s="1" t="s">
        <v>3851</v>
      </c>
    </row>
    <row r="5" spans="1:35" ht="6" customHeight="1" x14ac:dyDescent="0.2">
      <c r="A5" s="1255"/>
      <c r="B5" s="1255"/>
      <c r="C5" s="1255"/>
      <c r="D5" s="1255"/>
      <c r="E5" s="1255"/>
      <c r="F5" s="1255"/>
      <c r="G5" s="1255"/>
      <c r="H5" s="1255"/>
      <c r="I5" s="1255"/>
      <c r="J5" s="1255"/>
      <c r="K5" s="1255"/>
      <c r="L5" s="1255"/>
      <c r="M5" s="1255"/>
      <c r="N5" s="1255"/>
      <c r="Q5" s="765"/>
      <c r="Z5" s="327"/>
      <c r="AA5" s="756" t="s">
        <v>3854</v>
      </c>
    </row>
    <row r="6" spans="1:35" x14ac:dyDescent="0.2">
      <c r="A6" s="1256" t="s">
        <v>962</v>
      </c>
      <c r="B6" s="1256"/>
      <c r="C6" s="1257"/>
      <c r="D6" s="1212">
        <f>IFERROR(VLOOKUP($N$6,'Acct Detail'!B:AD,29,FALSE),"")</f>
        <v>0</v>
      </c>
      <c r="E6" s="1213"/>
      <c r="F6" s="1263" t="s">
        <v>1100</v>
      </c>
      <c r="G6" s="1263"/>
      <c r="H6" s="1263"/>
      <c r="I6" s="1216"/>
      <c r="J6" s="1078">
        <f>IFERROR(VLOOKUP($N$6,'Acct Detail'!B:AB,2,FALSE),"")</f>
        <v>0</v>
      </c>
      <c r="K6" s="279"/>
      <c r="L6" s="1078">
        <f>IFERROR(VLOOKUP($N$6,'Acct Detail'!B:AB,4,FALSE),"")</f>
        <v>0</v>
      </c>
      <c r="M6" s="112"/>
      <c r="N6" s="411" t="s">
        <v>1092</v>
      </c>
      <c r="P6" s="1" t="str">
        <f>IF(OR($D$12="Yes",$N$6="New"),"UNIT","")</f>
        <v>UNIT</v>
      </c>
      <c r="Q6" s="765"/>
      <c r="Z6" s="327"/>
      <c r="AA6" s="756" t="s">
        <v>3855</v>
      </c>
    </row>
    <row r="7" spans="1:35" x14ac:dyDescent="0.2">
      <c r="A7" s="1255"/>
      <c r="B7" s="1255"/>
      <c r="C7" s="1255"/>
      <c r="D7" s="1255"/>
      <c r="E7" s="1255"/>
      <c r="F7" s="1255"/>
      <c r="G7" s="1255"/>
      <c r="H7" s="1255"/>
      <c r="I7" s="1255"/>
      <c r="J7" s="176" t="s">
        <v>273</v>
      </c>
      <c r="K7" s="176"/>
      <c r="L7" s="176" t="s">
        <v>960</v>
      </c>
      <c r="N7" s="176" t="s">
        <v>961</v>
      </c>
      <c r="Q7" s="765"/>
      <c r="Z7" s="327"/>
      <c r="AA7" s="756" t="s">
        <v>3856</v>
      </c>
    </row>
    <row r="8" spans="1:35" x14ac:dyDescent="0.2">
      <c r="A8" s="1258" t="s">
        <v>1025</v>
      </c>
      <c r="B8" s="1258"/>
      <c r="C8" s="1259"/>
      <c r="D8" s="1212">
        <f>IFERROR(VLOOKUP($N$6,'Acct Detail'!B:AB,3,FALSE),"")</f>
        <v>0</v>
      </c>
      <c r="E8" s="1213"/>
      <c r="F8" s="1263" t="s">
        <v>1101</v>
      </c>
      <c r="G8" s="1263"/>
      <c r="H8" s="1263"/>
      <c r="I8" s="1216"/>
      <c r="J8" s="1078" t="str">
        <f>IFERROR(VLOOKUP($N$6,'Acct Detail'!B:AB,8,FALSE),"")</f>
        <v>NA</v>
      </c>
      <c r="K8" s="279"/>
      <c r="L8" s="1078" t="str">
        <f>IFERROR(VLOOKUP($N$6,'Acct Detail'!B:AB,9,FALSE),"")</f>
        <v>NA</v>
      </c>
      <c r="M8" s="112"/>
      <c r="N8" s="1078" t="str">
        <f>IFERROR(VLOOKUP($N$6,'Acct Detail'!B:AB,10,FALSE),"")</f>
        <v>NA</v>
      </c>
      <c r="P8" s="1" t="str">
        <f>IF(OR($D$12="Yes",$N$6="New"),"CC","")</f>
        <v>CC</v>
      </c>
      <c r="Q8" s="765"/>
      <c r="Z8" s="327"/>
      <c r="AA8" s="756" t="s">
        <v>3857</v>
      </c>
    </row>
    <row r="9" spans="1:35" x14ac:dyDescent="0.2">
      <c r="A9" s="1255"/>
      <c r="B9" s="1255"/>
      <c r="C9" s="1255"/>
      <c r="D9" s="1255"/>
      <c r="E9" s="1255"/>
      <c r="F9" s="1255"/>
      <c r="G9" s="1255"/>
      <c r="H9" s="1255"/>
      <c r="I9" s="1255"/>
      <c r="J9" s="176" t="s">
        <v>273</v>
      </c>
      <c r="K9" s="176"/>
      <c r="L9" s="176" t="s">
        <v>1081</v>
      </c>
      <c r="N9" s="176" t="s">
        <v>1082</v>
      </c>
      <c r="Q9" s="765"/>
      <c r="Z9" s="327"/>
    </row>
    <row r="10" spans="1:35" x14ac:dyDescent="0.2">
      <c r="A10" s="1256" t="s">
        <v>360</v>
      </c>
      <c r="B10" s="1256"/>
      <c r="C10" s="1257"/>
      <c r="D10" s="1212">
        <f>IFERROR(VLOOKUP($N$6,'Acct Detail'!B:AF,5,FALSE),"")</f>
        <v>0</v>
      </c>
      <c r="E10" s="1213"/>
      <c r="F10" s="1264" t="s">
        <v>841</v>
      </c>
      <c r="G10" s="1264"/>
      <c r="H10" s="1264"/>
      <c r="I10" s="1265"/>
      <c r="J10" s="1260">
        <f>IFERROR(VLOOKUP($N$6,'Acct Detail'!B:AB,11,FALSE),"")</f>
        <v>0</v>
      </c>
      <c r="K10" s="1261"/>
      <c r="L10" s="1261"/>
      <c r="M10" s="1261"/>
      <c r="N10" s="1262"/>
      <c r="P10" s="1" t="str">
        <f>IF(OR($D$12="Yes",$N$6="New"),"FUND","")</f>
        <v>FUND</v>
      </c>
      <c r="Q10" s="765"/>
      <c r="Z10" s="327"/>
    </row>
    <row r="11" spans="1:35" ht="9" customHeight="1" x14ac:dyDescent="0.2">
      <c r="A11" s="1255"/>
      <c r="B11" s="1255"/>
      <c r="C11" s="1255"/>
      <c r="D11" s="1255"/>
      <c r="E11" s="1255"/>
      <c r="F11" s="1255"/>
      <c r="G11" s="1255"/>
      <c r="H11" s="1255"/>
      <c r="I11" s="1255"/>
      <c r="J11" s="1255"/>
      <c r="K11" s="1255"/>
      <c r="L11" s="1255"/>
      <c r="M11" s="1255"/>
      <c r="N11" s="1255"/>
      <c r="Q11" s="765"/>
      <c r="Z11" s="327"/>
      <c r="AA11" s="756"/>
    </row>
    <row r="12" spans="1:35" x14ac:dyDescent="0.2">
      <c r="A12" s="1" t="s">
        <v>3852</v>
      </c>
      <c r="D12" s="1241" t="s">
        <v>3850</v>
      </c>
      <c r="E12" s="1243"/>
      <c r="F12" s="1215" t="s">
        <v>361</v>
      </c>
      <c r="G12" s="1215"/>
      <c r="H12" s="1215"/>
      <c r="I12" s="1216"/>
      <c r="J12" s="1241"/>
      <c r="K12" s="1242"/>
      <c r="L12" s="1242"/>
      <c r="M12" s="1242"/>
      <c r="N12" s="1243"/>
      <c r="P12" s="1" t="str">
        <f>IF(OR($D$12="Yes",$N$6="New"),"FUNCTION","")</f>
        <v>FUNCTION</v>
      </c>
      <c r="Q12" s="765"/>
      <c r="Z12" s="327"/>
      <c r="AA12" s="756"/>
    </row>
    <row r="13" spans="1:35" ht="14.25" customHeight="1" thickBot="1" x14ac:dyDescent="0.25">
      <c r="A13" s="1239" t="str">
        <f>IF($D$12="Yes","Note:              If account is converting Enter old number in cell N6, New account info enter in Column Q","")</f>
        <v>Note:              If account is converting Enter old number in cell N6, New account info enter in Column Q</v>
      </c>
      <c r="B13" s="1240"/>
      <c r="C13" s="1240"/>
      <c r="D13" s="1240"/>
      <c r="E13" s="1240"/>
      <c r="F13" s="1240"/>
      <c r="G13" s="1240"/>
      <c r="H13" s="1240"/>
      <c r="I13" s="1240"/>
      <c r="J13" s="1240"/>
      <c r="K13" s="1240"/>
      <c r="L13" s="1240"/>
      <c r="M13" s="1240"/>
      <c r="N13" s="1240"/>
      <c r="Z13" s="327"/>
      <c r="AA13" s="756"/>
    </row>
    <row r="14" spans="1:35" ht="9.75" customHeight="1" x14ac:dyDescent="0.2">
      <c r="A14" s="173"/>
      <c r="B14" s="1238"/>
      <c r="C14" s="1238"/>
      <c r="D14" s="1238"/>
      <c r="E14" s="173"/>
      <c r="F14" s="173"/>
      <c r="G14" s="173"/>
      <c r="H14" s="173"/>
      <c r="I14" s="173"/>
      <c r="J14" s="173"/>
      <c r="K14" s="173"/>
      <c r="L14" s="173"/>
      <c r="M14" s="173"/>
      <c r="N14" s="173"/>
      <c r="O14" s="3"/>
      <c r="P14" s="3"/>
      <c r="Z14" s="327"/>
      <c r="AA14" s="756"/>
    </row>
    <row r="15" spans="1:35" ht="12.75" customHeight="1" x14ac:dyDescent="0.2">
      <c r="A15" s="1217" t="s">
        <v>677</v>
      </c>
      <c r="B15" s="1218"/>
      <c r="C15" s="1218"/>
      <c r="D15" s="1219"/>
      <c r="E15" s="173"/>
      <c r="F15" s="264" t="s">
        <v>928</v>
      </c>
      <c r="G15" s="173"/>
      <c r="H15" s="173"/>
      <c r="I15" s="173"/>
      <c r="J15" s="270" t="s">
        <v>1166</v>
      </c>
      <c r="K15" s="189"/>
      <c r="L15" s="189"/>
      <c r="M15" s="189"/>
      <c r="N15" s="270" t="s">
        <v>1293</v>
      </c>
      <c r="O15" s="3"/>
      <c r="P15" s="257" t="s">
        <v>574</v>
      </c>
      <c r="Q15" s="419" t="s">
        <v>674</v>
      </c>
      <c r="Z15" s="327"/>
      <c r="AA15" s="756"/>
    </row>
    <row r="16" spans="1:35" ht="12.75" customHeight="1" x14ac:dyDescent="0.2">
      <c r="A16" s="1220"/>
      <c r="B16" s="1221"/>
      <c r="C16" s="1221"/>
      <c r="D16" s="1222"/>
      <c r="E16" s="173"/>
      <c r="F16" s="265" t="s">
        <v>357</v>
      </c>
      <c r="G16" s="173"/>
      <c r="H16" s="173"/>
      <c r="I16" s="173"/>
      <c r="J16" s="265" t="s">
        <v>550</v>
      </c>
      <c r="K16" s="190"/>
      <c r="L16" s="190"/>
      <c r="M16" s="190"/>
      <c r="N16" s="265" t="s">
        <v>355</v>
      </c>
      <c r="O16" s="3"/>
      <c r="P16" s="258" t="s">
        <v>576</v>
      </c>
      <c r="Q16" s="420" t="s">
        <v>601</v>
      </c>
      <c r="Z16" s="327"/>
      <c r="AA16" s="756"/>
    </row>
    <row r="17" spans="1:27" ht="12.75" customHeight="1" x14ac:dyDescent="0.2">
      <c r="A17" s="1223"/>
      <c r="B17" s="1224"/>
      <c r="C17" s="1224"/>
      <c r="D17" s="1225"/>
      <c r="E17" s="173"/>
      <c r="F17" s="266" t="s">
        <v>242</v>
      </c>
      <c r="G17" s="173"/>
      <c r="H17" s="173"/>
      <c r="I17" s="173"/>
      <c r="J17" s="266" t="s">
        <v>242</v>
      </c>
      <c r="K17" s="199"/>
      <c r="L17" s="199"/>
      <c r="M17" s="199"/>
      <c r="N17" s="266" t="s">
        <v>242</v>
      </c>
      <c r="O17" s="3"/>
      <c r="P17" s="259" t="s">
        <v>575</v>
      </c>
      <c r="Q17" s="421" t="s">
        <v>675</v>
      </c>
      <c r="Z17" s="327"/>
      <c r="AA17" s="756"/>
    </row>
    <row r="18" spans="1:27" ht="9" customHeight="1" x14ac:dyDescent="0.2">
      <c r="A18" s="200"/>
      <c r="B18" s="1226"/>
      <c r="C18" s="1226"/>
      <c r="D18" s="1226"/>
      <c r="E18" s="173"/>
      <c r="F18" s="173"/>
      <c r="G18" s="173"/>
      <c r="H18" s="173"/>
      <c r="I18" s="173"/>
      <c r="J18" s="173"/>
      <c r="K18" s="173"/>
      <c r="L18" s="173"/>
      <c r="M18" s="173"/>
      <c r="N18" s="173"/>
      <c r="O18" s="3"/>
      <c r="P18" s="255"/>
      <c r="Z18" s="327"/>
      <c r="AA18" s="756"/>
    </row>
    <row r="19" spans="1:27" ht="17.25" customHeight="1" x14ac:dyDescent="0.2">
      <c r="A19" s="201" t="s">
        <v>1219</v>
      </c>
      <c r="B19" s="1227" t="s">
        <v>573</v>
      </c>
      <c r="C19" s="1227"/>
      <c r="D19" s="1227"/>
      <c r="E19" s="173"/>
      <c r="F19" s="1173">
        <f>IFERROR(VLOOKUP($N$6,'Acct Detail'!B:AB,12,FALSE),0)</f>
        <v>0</v>
      </c>
      <c r="G19" s="173"/>
      <c r="H19" s="173"/>
      <c r="I19" s="173"/>
      <c r="J19" s="64">
        <f>F59</f>
        <v>0</v>
      </c>
      <c r="K19" s="174"/>
      <c r="L19" s="174"/>
      <c r="M19" s="174"/>
      <c r="N19" s="172"/>
      <c r="O19" s="3"/>
      <c r="P19" s="255"/>
      <c r="Z19" s="327"/>
      <c r="AA19" s="756"/>
    </row>
    <row r="20" spans="1:27" ht="5.25" customHeight="1" x14ac:dyDescent="0.2">
      <c r="A20" s="201"/>
      <c r="B20" s="1227"/>
      <c r="C20" s="1227"/>
      <c r="D20" s="1227"/>
      <c r="E20" s="173"/>
      <c r="F20" s="57"/>
      <c r="G20" s="173"/>
      <c r="H20" s="173"/>
      <c r="I20" s="173"/>
      <c r="J20" s="57"/>
      <c r="K20" s="174"/>
      <c r="L20" s="174"/>
      <c r="M20" s="174"/>
      <c r="N20" s="173"/>
      <c r="O20" s="3"/>
      <c r="P20" s="255"/>
      <c r="Z20" s="327"/>
      <c r="AA20" s="756"/>
    </row>
    <row r="21" spans="1:27" ht="18" customHeight="1" x14ac:dyDescent="0.2">
      <c r="A21" s="201" t="s">
        <v>1220</v>
      </c>
      <c r="B21" s="202" t="s">
        <v>1096</v>
      </c>
      <c r="C21" s="202"/>
      <c r="D21" s="202"/>
      <c r="E21" s="173"/>
      <c r="F21" s="173"/>
      <c r="G21" s="173"/>
      <c r="H21" s="173"/>
      <c r="I21" s="173"/>
      <c r="J21" s="173"/>
      <c r="K21" s="173"/>
      <c r="L21" s="173"/>
      <c r="M21" s="174"/>
      <c r="N21" s="64">
        <f>J59</f>
        <v>0</v>
      </c>
      <c r="O21" s="3"/>
      <c r="P21" s="255"/>
      <c r="Z21" s="327"/>
      <c r="AA21" s="756"/>
    </row>
    <row r="22" spans="1:27" ht="5.25" customHeight="1" x14ac:dyDescent="0.2">
      <c r="A22" s="201"/>
      <c r="B22" s="202"/>
      <c r="C22" s="202"/>
      <c r="D22" s="202"/>
      <c r="E22" s="173"/>
      <c r="F22" s="57"/>
      <c r="G22" s="173"/>
      <c r="H22" s="173"/>
      <c r="I22" s="173"/>
      <c r="J22" s="57"/>
      <c r="K22" s="174"/>
      <c r="L22" s="174"/>
      <c r="M22" s="174"/>
      <c r="N22" s="3"/>
      <c r="O22" s="3"/>
      <c r="P22" s="255"/>
      <c r="Z22" s="327"/>
      <c r="AA22" s="756"/>
    </row>
    <row r="23" spans="1:27" ht="17.25" customHeight="1" x14ac:dyDescent="0.2">
      <c r="A23" s="201" t="s">
        <v>1221</v>
      </c>
      <c r="B23" s="1227" t="s">
        <v>594</v>
      </c>
      <c r="C23" s="1227"/>
      <c r="D23" s="1227"/>
      <c r="E23" s="173"/>
      <c r="F23" s="64">
        <f>IFERROR(VLOOKUP($N$6,'Acct Detail'!B:AB,13,FALSE),0)</f>
        <v>0</v>
      </c>
      <c r="G23" s="173"/>
      <c r="H23" s="173"/>
      <c r="I23" s="173"/>
      <c r="J23" s="64">
        <f>'FORM R1'!F23</f>
        <v>0</v>
      </c>
      <c r="K23" s="203"/>
      <c r="L23" s="203"/>
      <c r="M23" s="203"/>
      <c r="N23" s="64">
        <f>'FORM R1'!G23</f>
        <v>0</v>
      </c>
      <c r="O23" s="3"/>
      <c r="P23" s="700" t="s">
        <v>666</v>
      </c>
      <c r="Q23" s="704">
        <f>IF(AND(J23=0,N23&gt;0),100%,IFERROR((N23-J23)/J23,0))</f>
        <v>0</v>
      </c>
      <c r="Z23" s="327"/>
      <c r="AA23" s="756"/>
    </row>
    <row r="24" spans="1:27" ht="5.25" customHeight="1" x14ac:dyDescent="0.2">
      <c r="A24" s="200"/>
      <c r="B24" s="1227"/>
      <c r="C24" s="1227"/>
      <c r="D24" s="1227"/>
      <c r="E24" s="173"/>
      <c r="F24" s="99"/>
      <c r="G24" s="173"/>
      <c r="H24" s="173"/>
      <c r="I24" s="173"/>
      <c r="J24" s="57"/>
      <c r="K24" s="174"/>
      <c r="L24" s="174"/>
      <c r="M24" s="174"/>
      <c r="N24" s="57"/>
      <c r="O24" s="3"/>
      <c r="P24" s="255"/>
      <c r="Z24" s="327"/>
      <c r="AA24" s="756"/>
    </row>
    <row r="25" spans="1:27" ht="17.25" customHeight="1" x14ac:dyDescent="0.2">
      <c r="A25" s="201" t="s">
        <v>1222</v>
      </c>
      <c r="B25" s="1227" t="s">
        <v>356</v>
      </c>
      <c r="C25" s="1227"/>
      <c r="D25" s="1227"/>
      <c r="E25" s="173"/>
      <c r="F25" s="64">
        <f>IFERROR(VLOOKUP($N$6,'Acct Detail'!B:AB,14,FALSE),0)</f>
        <v>0</v>
      </c>
      <c r="G25" s="173"/>
      <c r="H25" s="173"/>
      <c r="I25" s="173"/>
      <c r="J25" s="64">
        <f>'FORM R1'!F37</f>
        <v>0</v>
      </c>
      <c r="K25" s="174"/>
      <c r="L25" s="174"/>
      <c r="M25" s="174"/>
      <c r="N25" s="64">
        <f>'FORM R1'!G37</f>
        <v>0</v>
      </c>
      <c r="O25" s="3"/>
      <c r="P25" s="260" t="s">
        <v>666</v>
      </c>
      <c r="Q25" s="704">
        <f>IF(AND(J25=0,N25&gt;0),100%,IFERROR((N25-J25)/J25,0))</f>
        <v>0</v>
      </c>
      <c r="Z25" s="327"/>
      <c r="AA25" s="756"/>
    </row>
    <row r="26" spans="1:27" ht="5.25" customHeight="1" x14ac:dyDescent="0.2">
      <c r="A26" s="200"/>
      <c r="B26" s="1227"/>
      <c r="C26" s="1227"/>
      <c r="D26" s="1227"/>
      <c r="E26" s="173"/>
      <c r="F26" s="3"/>
      <c r="G26" s="173"/>
      <c r="H26" s="173"/>
      <c r="I26" s="173"/>
      <c r="J26" s="3"/>
      <c r="K26" s="173"/>
      <c r="L26" s="173"/>
      <c r="M26" s="173"/>
      <c r="N26" s="3"/>
      <c r="O26" s="3"/>
      <c r="P26" s="255"/>
      <c r="Z26" s="327"/>
    </row>
    <row r="27" spans="1:27" ht="17.25" customHeight="1" x14ac:dyDescent="0.2">
      <c r="A27" s="201"/>
      <c r="B27" s="1253" t="s">
        <v>545</v>
      </c>
      <c r="C27" s="1253"/>
      <c r="D27" s="1253"/>
      <c r="E27" s="173"/>
      <c r="F27" s="64">
        <f>SUM(F25+F23+F19)</f>
        <v>0</v>
      </c>
      <c r="G27" s="173"/>
      <c r="H27" s="173"/>
      <c r="I27" s="173"/>
      <c r="J27" s="64">
        <f>SUM(J25+J23+J19)</f>
        <v>0</v>
      </c>
      <c r="K27" s="174"/>
      <c r="L27" s="174"/>
      <c r="M27" s="174"/>
      <c r="N27" s="64">
        <f>SUM(N25+N23+N21)</f>
        <v>0</v>
      </c>
      <c r="O27" s="3"/>
      <c r="P27" s="255"/>
      <c r="Z27" s="327"/>
    </row>
    <row r="28" spans="1:27" ht="9.75" customHeight="1" thickBot="1" x14ac:dyDescent="0.25">
      <c r="A28" s="204"/>
      <c r="B28" s="1236"/>
      <c r="C28" s="1236"/>
      <c r="D28" s="1236"/>
      <c r="E28" s="195"/>
      <c r="F28" s="205"/>
      <c r="G28" s="195"/>
      <c r="H28" s="195"/>
      <c r="I28" s="195"/>
      <c r="J28" s="205"/>
      <c r="K28" s="195"/>
      <c r="L28" s="195"/>
      <c r="M28" s="195"/>
      <c r="N28" s="205"/>
      <c r="O28" s="3"/>
      <c r="P28" s="255"/>
      <c r="Z28" s="327"/>
    </row>
    <row r="29" spans="1:27" ht="9.75" customHeight="1" x14ac:dyDescent="0.2">
      <c r="A29" s="201"/>
      <c r="B29" s="1214"/>
      <c r="C29" s="1214"/>
      <c r="D29" s="1214"/>
      <c r="E29" s="173"/>
      <c r="F29" s="173"/>
      <c r="G29" s="173"/>
      <c r="H29" s="173"/>
      <c r="I29" s="173"/>
      <c r="J29" s="173"/>
      <c r="K29" s="173"/>
      <c r="L29" s="173"/>
      <c r="M29" s="173"/>
      <c r="N29" s="173"/>
      <c r="O29" s="3"/>
      <c r="P29" s="255"/>
      <c r="Z29" s="327"/>
    </row>
    <row r="30" spans="1:27" ht="12.75" customHeight="1" x14ac:dyDescent="0.2">
      <c r="A30" s="1244" t="s">
        <v>678</v>
      </c>
      <c r="B30" s="1245"/>
      <c r="C30" s="1245"/>
      <c r="D30" s="1246"/>
      <c r="E30" s="173"/>
      <c r="F30" s="177" t="str">
        <f>F15</f>
        <v>FY19</v>
      </c>
      <c r="G30" s="173"/>
      <c r="H30" s="1228" t="str">
        <f>J15</f>
        <v>FY20</v>
      </c>
      <c r="I30" s="1229"/>
      <c r="J30" s="1230"/>
      <c r="K30" s="189"/>
      <c r="L30" s="1228" t="str">
        <f>N15</f>
        <v>FY21</v>
      </c>
      <c r="M30" s="1229"/>
      <c r="N30" s="1230"/>
      <c r="O30" s="3"/>
      <c r="P30" s="255"/>
      <c r="Z30" s="327"/>
    </row>
    <row r="31" spans="1:27" ht="12.75" customHeight="1" x14ac:dyDescent="0.2">
      <c r="A31" s="1247"/>
      <c r="B31" s="1248"/>
      <c r="C31" s="1248"/>
      <c r="D31" s="1249"/>
      <c r="E31" s="173"/>
      <c r="F31" s="1146" t="s">
        <v>357</v>
      </c>
      <c r="G31" s="173"/>
      <c r="H31" s="1231" t="s">
        <v>552</v>
      </c>
      <c r="I31" s="1232"/>
      <c r="J31" s="1233"/>
      <c r="K31" s="190"/>
      <c r="L31" s="1231" t="s">
        <v>355</v>
      </c>
      <c r="M31" s="1232"/>
      <c r="N31" s="1233"/>
      <c r="O31" s="3"/>
      <c r="P31" s="255"/>
      <c r="Z31" s="327"/>
    </row>
    <row r="32" spans="1:27" x14ac:dyDescent="0.2">
      <c r="A32" s="1250"/>
      <c r="B32" s="1251"/>
      <c r="C32" s="1251"/>
      <c r="D32" s="1252"/>
      <c r="E32" s="173"/>
      <c r="F32" s="1147" t="s">
        <v>242</v>
      </c>
      <c r="G32" s="173"/>
      <c r="H32" s="206" t="s">
        <v>243</v>
      </c>
      <c r="I32" s="207"/>
      <c r="J32" s="1148" t="s">
        <v>242</v>
      </c>
      <c r="K32" s="199"/>
      <c r="L32" s="206" t="s">
        <v>243</v>
      </c>
      <c r="M32" s="207"/>
      <c r="N32" s="1148" t="s">
        <v>242</v>
      </c>
      <c r="O32" s="3"/>
      <c r="P32" s="255"/>
      <c r="Z32" s="327"/>
    </row>
    <row r="33" spans="1:26" ht="17.25" customHeight="1" x14ac:dyDescent="0.2">
      <c r="A33" s="201"/>
      <c r="B33" s="186" t="s">
        <v>1017</v>
      </c>
      <c r="C33" s="1237"/>
      <c r="D33" s="1237"/>
      <c r="E33" s="173"/>
      <c r="F33" s="3"/>
      <c r="G33" s="173"/>
      <c r="H33" s="173"/>
      <c r="I33" s="173"/>
      <c r="J33" s="3"/>
      <c r="K33" s="173"/>
      <c r="L33" s="173"/>
      <c r="M33" s="173"/>
      <c r="N33" s="3"/>
      <c r="O33" s="3"/>
      <c r="P33" s="255"/>
      <c r="Z33" s="327"/>
    </row>
    <row r="34" spans="1:26" ht="17.25" customHeight="1" x14ac:dyDescent="0.2">
      <c r="A34" s="201" t="s">
        <v>1223</v>
      </c>
      <c r="B34" s="740" t="s">
        <v>1006</v>
      </c>
      <c r="C34" s="1237" t="s">
        <v>549</v>
      </c>
      <c r="D34" s="1237"/>
      <c r="E34" s="173"/>
      <c r="F34" s="64">
        <f>IFERROR(VLOOKUP($N$6,'Acct Detail'!B:AB,15,FALSE),0)</f>
        <v>0</v>
      </c>
      <c r="G34" s="173"/>
      <c r="H34" s="250">
        <f>'FORM E1'!H122</f>
        <v>0</v>
      </c>
      <c r="I34" s="173"/>
      <c r="J34" s="64">
        <f>'FORM E1'!O122</f>
        <v>0</v>
      </c>
      <c r="K34" s="173"/>
      <c r="L34" s="250">
        <f>'FORM E1'!T122</f>
        <v>0</v>
      </c>
      <c r="M34" s="173"/>
      <c r="N34" s="64">
        <f>'FORM E1'!AB122</f>
        <v>0</v>
      </c>
      <c r="O34" s="3"/>
      <c r="P34" s="260" t="s">
        <v>667</v>
      </c>
      <c r="Q34" s="704">
        <f>IF(AND(J34=0,N34&gt;0),100%,IFERROR((N34-J34)/J34,0))</f>
        <v>0</v>
      </c>
      <c r="Z34" s="327"/>
    </row>
    <row r="35" spans="1:26" ht="6" customHeight="1" x14ac:dyDescent="0.2">
      <c r="A35" s="201"/>
      <c r="B35" s="740"/>
      <c r="C35" s="1237"/>
      <c r="D35" s="1237"/>
      <c r="E35" s="173"/>
      <c r="F35" s="545"/>
      <c r="G35" s="173"/>
      <c r="H35" s="548"/>
      <c r="I35" s="173"/>
      <c r="J35" s="545"/>
      <c r="K35" s="173"/>
      <c r="L35" s="548"/>
      <c r="M35" s="173"/>
      <c r="N35" s="545"/>
      <c r="O35" s="3"/>
      <c r="P35" s="256"/>
      <c r="Z35" s="327"/>
    </row>
    <row r="36" spans="1:26" ht="17.25" customHeight="1" x14ac:dyDescent="0.2">
      <c r="A36" s="201" t="s">
        <v>3233</v>
      </c>
      <c r="B36" s="740" t="s">
        <v>1007</v>
      </c>
      <c r="C36" s="1237" t="s">
        <v>535</v>
      </c>
      <c r="D36" s="1237"/>
      <c r="E36" s="173"/>
      <c r="F36" s="64">
        <f>IFERROR(VLOOKUP($N$6,'Acct Detail'!B:AB,16,FALSE),0)</f>
        <v>0</v>
      </c>
      <c r="G36" s="173"/>
      <c r="H36" s="548"/>
      <c r="I36" s="173"/>
      <c r="J36" s="407"/>
      <c r="K36" s="173"/>
      <c r="L36" s="548"/>
      <c r="M36" s="173"/>
      <c r="N36" s="407"/>
      <c r="O36" s="3"/>
      <c r="P36" s="256"/>
      <c r="Q36" s="704">
        <f>IF(AND(J36=0,N36&gt;0),100%,IFERROR((N36-J36)/J36,0))</f>
        <v>0</v>
      </c>
      <c r="Z36" s="327"/>
    </row>
    <row r="37" spans="1:26" ht="17.25" customHeight="1" x14ac:dyDescent="0.2">
      <c r="A37" s="201" t="s">
        <v>1224</v>
      </c>
      <c r="B37" s="740"/>
      <c r="C37" s="731" t="s">
        <v>716</v>
      </c>
      <c r="D37" s="731"/>
      <c r="E37" s="173"/>
      <c r="F37" s="407"/>
      <c r="G37" s="173"/>
      <c r="H37" s="548"/>
      <c r="I37" s="173"/>
      <c r="J37" s="407"/>
      <c r="K37" s="173"/>
      <c r="L37" s="548"/>
      <c r="M37" s="173"/>
      <c r="N37" s="407"/>
      <c r="O37" s="3"/>
      <c r="P37" s="256"/>
      <c r="Q37" s="704"/>
      <c r="Z37" s="327"/>
    </row>
    <row r="38" spans="1:26" ht="6" customHeight="1" x14ac:dyDescent="0.2">
      <c r="A38" s="200"/>
      <c r="B38" s="740"/>
      <c r="C38" s="1237"/>
      <c r="D38" s="1237"/>
      <c r="E38" s="173"/>
      <c r="F38" s="546"/>
      <c r="G38" s="173"/>
      <c r="H38" s="548"/>
      <c r="I38" s="173"/>
      <c r="J38" s="546"/>
      <c r="K38" s="173"/>
      <c r="L38" s="548"/>
      <c r="M38" s="173"/>
      <c r="N38" s="546"/>
      <c r="O38" s="3"/>
      <c r="P38" s="256"/>
      <c r="Z38" s="327"/>
    </row>
    <row r="39" spans="1:26" ht="17.25" customHeight="1" x14ac:dyDescent="0.2">
      <c r="A39" s="201" t="s">
        <v>1225</v>
      </c>
      <c r="B39" s="740" t="s">
        <v>1008</v>
      </c>
      <c r="C39" s="1237" t="s">
        <v>1112</v>
      </c>
      <c r="D39" s="1237"/>
      <c r="E39" s="173"/>
      <c r="F39" s="64">
        <f>IFERROR(VLOOKUP($N$6,'Acct Detail'!B:AB,17,FALSE),0)</f>
        <v>0</v>
      </c>
      <c r="G39" s="173"/>
      <c r="H39" s="250">
        <f>'FORM E2'!K116</f>
        <v>0</v>
      </c>
      <c r="I39" s="173"/>
      <c r="J39" s="64">
        <f>'FORM E2'!R116</f>
        <v>0</v>
      </c>
      <c r="K39" s="173"/>
      <c r="L39" s="250">
        <f>'FORM E2'!W116</f>
        <v>0</v>
      </c>
      <c r="M39" s="173"/>
      <c r="N39" s="64">
        <f>'FORM E2'!AK116</f>
        <v>0</v>
      </c>
      <c r="O39" s="3"/>
      <c r="P39" s="260" t="s">
        <v>668</v>
      </c>
      <c r="Q39" s="704">
        <f>IF(AND(J39=0,N39&gt;0),100%,IFERROR((N39-J39)/J39,0))</f>
        <v>0</v>
      </c>
      <c r="Z39" s="327"/>
    </row>
    <row r="40" spans="1:26" ht="5.25" customHeight="1" x14ac:dyDescent="0.2">
      <c r="A40" s="173"/>
      <c r="B40" s="740"/>
      <c r="C40" s="1237"/>
      <c r="D40" s="1237"/>
      <c r="E40" s="173"/>
      <c r="F40" s="545"/>
      <c r="G40" s="173"/>
      <c r="H40" s="548"/>
      <c r="I40" s="173"/>
      <c r="J40" s="545"/>
      <c r="K40" s="173"/>
      <c r="L40" s="548"/>
      <c r="M40" s="173"/>
      <c r="N40" s="545"/>
      <c r="O40" s="3"/>
      <c r="P40" s="256"/>
      <c r="Z40" s="327"/>
    </row>
    <row r="41" spans="1:26" ht="17.25" customHeight="1" x14ac:dyDescent="0.2">
      <c r="A41" s="201" t="s">
        <v>1226</v>
      </c>
      <c r="B41" s="740" t="s">
        <v>1009</v>
      </c>
      <c r="C41" s="1237" t="s">
        <v>955</v>
      </c>
      <c r="D41" s="1237"/>
      <c r="E41" s="173"/>
      <c r="F41" s="64">
        <f>IFERROR(VLOOKUP($N$6,'Acct Detail'!B:AB,18,FALSE),0)</f>
        <v>0</v>
      </c>
      <c r="G41" s="173"/>
      <c r="H41" s="548"/>
      <c r="I41" s="173"/>
      <c r="J41" s="407"/>
      <c r="K41" s="173"/>
      <c r="L41" s="548"/>
      <c r="M41" s="173"/>
      <c r="N41" s="407"/>
      <c r="O41" s="3"/>
      <c r="P41" s="256"/>
      <c r="Q41" s="704">
        <f>IF(AND(J41=0,N41&gt;0),100%,IFERROR((N41-J41)/J41,0))</f>
        <v>0</v>
      </c>
      <c r="Z41" s="327"/>
    </row>
    <row r="42" spans="1:26" ht="5.25" customHeight="1" x14ac:dyDescent="0.2">
      <c r="A42" s="3"/>
      <c r="B42" s="740"/>
      <c r="C42" s="1237"/>
      <c r="D42" s="1237"/>
      <c r="E42" s="173"/>
      <c r="F42" s="545"/>
      <c r="G42" s="173"/>
      <c r="H42" s="548"/>
      <c r="I42" s="173"/>
      <c r="J42" s="545"/>
      <c r="K42" s="173"/>
      <c r="L42" s="548"/>
      <c r="M42" s="173"/>
      <c r="N42" s="545"/>
      <c r="O42" s="3"/>
      <c r="P42" s="256"/>
      <c r="Z42" s="327"/>
    </row>
    <row r="43" spans="1:26" ht="17.25" customHeight="1" x14ac:dyDescent="0.2">
      <c r="A43" s="201" t="s">
        <v>1227</v>
      </c>
      <c r="B43" s="740">
        <v>5900</v>
      </c>
      <c r="C43" s="1237" t="s">
        <v>276</v>
      </c>
      <c r="D43" s="1237"/>
      <c r="E43" s="173"/>
      <c r="F43" s="64">
        <f>IFERROR(VLOOKUP($N$6,'Acct Detail'!B:AB,19,FALSE),0)</f>
        <v>0</v>
      </c>
      <c r="G43" s="173"/>
      <c r="H43" s="548"/>
      <c r="I43" s="173"/>
      <c r="J43" s="64">
        <f>(+'FORM E1'!Q122+'FORM E2'!T116)+(J36*Rates!M367)+(J41*Rates!O367)+J37</f>
        <v>0</v>
      </c>
      <c r="K43" s="173"/>
      <c r="L43" s="548"/>
      <c r="M43" s="173"/>
      <c r="N43" s="64">
        <f>('FORM E1'!AD122+'FORM E2'!AM116)+(N36*Rates!M384)+(N41*Rates!O384)+N37</f>
        <v>0</v>
      </c>
      <c r="O43" s="3"/>
      <c r="P43" s="256"/>
      <c r="Z43" s="327"/>
    </row>
    <row r="44" spans="1:26" ht="5.25" customHeight="1" x14ac:dyDescent="0.2">
      <c r="A44" s="201"/>
      <c r="B44" s="740"/>
      <c r="C44" s="1237"/>
      <c r="D44" s="1237"/>
      <c r="E44" s="173"/>
      <c r="F44" s="545"/>
      <c r="G44" s="173"/>
      <c r="H44" s="548"/>
      <c r="I44" s="173"/>
      <c r="J44" s="545"/>
      <c r="K44" s="173"/>
      <c r="L44" s="548"/>
      <c r="M44" s="173"/>
      <c r="N44" s="545"/>
      <c r="O44" s="3"/>
      <c r="P44" s="256"/>
      <c r="Z44" s="327"/>
    </row>
    <row r="45" spans="1:26" ht="17.25" customHeight="1" x14ac:dyDescent="0.2">
      <c r="A45" s="278" t="s">
        <v>1228</v>
      </c>
      <c r="B45" s="740" t="s">
        <v>1012</v>
      </c>
      <c r="C45" s="1237" t="s">
        <v>957</v>
      </c>
      <c r="D45" s="1237"/>
      <c r="E45" s="173"/>
      <c r="F45" s="64">
        <f>SUM(IFERROR(VLOOKUP($N$6,'Acct Detail'!B:AB,20,FALSE),0),IFERROR(VLOOKUP($N$6,'Acct Detail'!B:AB,21,FALSE),0),IFERROR(VLOOKUP($N$6,'Acct Detail'!B:AQ,42,FALSE),0),IFERROR(VLOOKUP($N$6,'Acct Detail'!B:AQ,43,FALSE),0))</f>
        <v>0</v>
      </c>
      <c r="G45" s="173"/>
      <c r="H45" s="548"/>
      <c r="I45" s="173"/>
      <c r="J45" s="64">
        <f>'FORM E3'!H40</f>
        <v>0</v>
      </c>
      <c r="K45" s="173"/>
      <c r="L45" s="548"/>
      <c r="M45" s="173"/>
      <c r="N45" s="64">
        <f>'FORM E3'!J40</f>
        <v>0</v>
      </c>
      <c r="O45" s="3"/>
      <c r="P45" s="260" t="s">
        <v>669</v>
      </c>
      <c r="Q45" s="704">
        <f>IF(AND(J45=0,N45&gt;0),100%,IFERROR((N45-J45)/J45,0))</f>
        <v>0</v>
      </c>
      <c r="Z45" s="327"/>
    </row>
    <row r="46" spans="1:26" ht="5.25" customHeight="1" x14ac:dyDescent="0.2">
      <c r="A46" s="190"/>
      <c r="B46" s="740"/>
      <c r="C46" s="1237"/>
      <c r="D46" s="1237"/>
      <c r="E46" s="173"/>
      <c r="F46" s="545"/>
      <c r="G46" s="173"/>
      <c r="H46" s="548"/>
      <c r="I46" s="173"/>
      <c r="J46" s="545"/>
      <c r="K46" s="173"/>
      <c r="L46" s="548"/>
      <c r="M46" s="173"/>
      <c r="N46" s="545"/>
      <c r="O46" s="3"/>
      <c r="P46" s="256"/>
      <c r="Z46" s="327"/>
    </row>
    <row r="47" spans="1:26" ht="18" customHeight="1" x14ac:dyDescent="0.2">
      <c r="A47" s="278" t="s">
        <v>1229</v>
      </c>
      <c r="B47" s="740" t="s">
        <v>1011</v>
      </c>
      <c r="C47" s="741" t="s">
        <v>918</v>
      </c>
      <c r="D47" s="741"/>
      <c r="E47" s="173"/>
      <c r="F47" s="64">
        <f>IFERROR(VLOOKUP($N$6,'Acct Detail'!B:AB,22,FALSE),0)</f>
        <v>0</v>
      </c>
      <c r="G47" s="173"/>
      <c r="H47" s="548"/>
      <c r="I47" s="173"/>
      <c r="J47" s="1149"/>
      <c r="K47" s="173"/>
      <c r="L47" s="548"/>
      <c r="M47" s="173"/>
      <c r="N47" s="407"/>
      <c r="O47" s="3"/>
      <c r="P47" s="256"/>
      <c r="Q47" s="704">
        <f>IF(AND(J47=0,N47&gt;0),100%,IFERROR((N47-J47)/J47,0))</f>
        <v>0</v>
      </c>
      <c r="Z47" s="327"/>
    </row>
    <row r="48" spans="1:26" ht="5.25" customHeight="1" x14ac:dyDescent="0.2">
      <c r="A48" s="185"/>
      <c r="B48" s="740"/>
      <c r="C48" s="731"/>
      <c r="D48" s="731"/>
      <c r="E48" s="173"/>
      <c r="F48" s="545"/>
      <c r="G48" s="173"/>
      <c r="H48" s="548"/>
      <c r="I48" s="173"/>
      <c r="J48" s="545"/>
      <c r="K48" s="173"/>
      <c r="L48" s="548"/>
      <c r="M48" s="173"/>
      <c r="N48" s="545"/>
      <c r="O48" s="3"/>
      <c r="P48" s="256"/>
      <c r="Z48" s="327"/>
    </row>
    <row r="49" spans="1:26" ht="17.25" customHeight="1" x14ac:dyDescent="0.2">
      <c r="A49" s="278" t="s">
        <v>1230</v>
      </c>
      <c r="B49" s="740" t="s">
        <v>1010</v>
      </c>
      <c r="C49" s="1237" t="s">
        <v>956</v>
      </c>
      <c r="D49" s="1237"/>
      <c r="E49" s="173"/>
      <c r="F49" s="64">
        <f>IFERROR(VLOOKUP($N$6,'Acct Detail'!B:AB,23,FALSE),0)</f>
        <v>0</v>
      </c>
      <c r="G49" s="173"/>
      <c r="H49" s="548"/>
      <c r="I49" s="173"/>
      <c r="J49" s="407"/>
      <c r="K49" s="173"/>
      <c r="L49" s="548"/>
      <c r="M49" s="173"/>
      <c r="N49" s="407"/>
      <c r="O49" s="3"/>
      <c r="P49" s="256"/>
      <c r="Q49" s="704">
        <f>IF(AND(J49=0,N49&gt;0),100%,IFERROR((N49-J49)/J49,0))</f>
        <v>0</v>
      </c>
      <c r="Z49" s="327"/>
    </row>
    <row r="50" spans="1:26" ht="5.25" customHeight="1" x14ac:dyDescent="0.2">
      <c r="A50" s="185"/>
      <c r="B50" s="740"/>
      <c r="C50" s="1237"/>
      <c r="D50" s="1237"/>
      <c r="E50" s="173"/>
      <c r="F50" s="545"/>
      <c r="G50" s="173"/>
      <c r="H50" s="548"/>
      <c r="I50" s="173"/>
      <c r="J50" s="545"/>
      <c r="K50" s="173"/>
      <c r="L50" s="548"/>
      <c r="M50" s="173"/>
      <c r="N50" s="545"/>
      <c r="O50" s="3"/>
      <c r="P50" s="256"/>
      <c r="Z50" s="327"/>
    </row>
    <row r="51" spans="1:26" ht="17.25" customHeight="1" x14ac:dyDescent="0.2">
      <c r="A51" s="278" t="s">
        <v>1231</v>
      </c>
      <c r="B51" s="740">
        <v>6400</v>
      </c>
      <c r="C51" s="741" t="s">
        <v>958</v>
      </c>
      <c r="D51" s="741"/>
      <c r="E51" s="173"/>
      <c r="F51" s="64">
        <f>IFERROR(VLOOKUP($N$6,'Acct Detail'!B:AB,24,FALSE),0)</f>
        <v>0</v>
      </c>
      <c r="G51" s="173"/>
      <c r="H51" s="548"/>
      <c r="I51" s="173"/>
      <c r="J51" s="64">
        <f>'FORM R1'!F25</f>
        <v>0</v>
      </c>
      <c r="K51" s="173"/>
      <c r="L51" s="548"/>
      <c r="M51" s="173"/>
      <c r="N51" s="64">
        <f>'FORM R1'!G25</f>
        <v>0</v>
      </c>
      <c r="O51" s="3"/>
      <c r="P51" s="260" t="s">
        <v>666</v>
      </c>
      <c r="Q51" s="704">
        <f>IF(AND(J51=0,N51&gt;0),100%,IFERROR((N51-J51)/J51,0))</f>
        <v>0</v>
      </c>
      <c r="Z51" s="327"/>
    </row>
    <row r="52" spans="1:26" ht="5.25" customHeight="1" x14ac:dyDescent="0.2">
      <c r="A52" s="208"/>
      <c r="B52" s="740"/>
      <c r="C52" s="1237"/>
      <c r="D52" s="1237"/>
      <c r="E52" s="173"/>
      <c r="F52" s="545"/>
      <c r="G52" s="173"/>
      <c r="H52" s="548"/>
      <c r="I52" s="173"/>
      <c r="J52" s="545"/>
      <c r="K52" s="173"/>
      <c r="L52" s="548"/>
      <c r="M52" s="173"/>
      <c r="N52" s="545"/>
      <c r="O52" s="3"/>
      <c r="P52" s="256"/>
      <c r="Z52" s="327"/>
    </row>
    <row r="53" spans="1:26" ht="17.25" customHeight="1" x14ac:dyDescent="0.2">
      <c r="A53" s="278" t="s">
        <v>1232</v>
      </c>
      <c r="B53" s="740" t="s">
        <v>1016</v>
      </c>
      <c r="C53" s="1237" t="s">
        <v>959</v>
      </c>
      <c r="D53" s="1237"/>
      <c r="E53" s="173"/>
      <c r="F53" s="64">
        <f>IFERROR(VLOOKUP($N$6,'Acct Detail'!B:AB,25,FALSE),0)</f>
        <v>0</v>
      </c>
      <c r="G53" s="173"/>
      <c r="H53" s="548"/>
      <c r="I53" s="173"/>
      <c r="J53" s="407"/>
      <c r="K53" s="173"/>
      <c r="L53" s="548"/>
      <c r="M53" s="173"/>
      <c r="N53" s="407"/>
      <c r="O53" s="3"/>
      <c r="P53" s="256"/>
      <c r="Q53" s="704">
        <f>IF(AND(J53=0,N53&gt;0),100%,IFERROR((N53-J53)/J53,0))</f>
        <v>0</v>
      </c>
      <c r="Z53" s="327"/>
    </row>
    <row r="54" spans="1:26" ht="5.25" customHeight="1" x14ac:dyDescent="0.2">
      <c r="A54" s="201"/>
      <c r="B54" s="740"/>
      <c r="C54" s="1237"/>
      <c r="D54" s="1237"/>
      <c r="E54" s="173"/>
      <c r="F54" s="545"/>
      <c r="G54" s="173"/>
      <c r="H54" s="548"/>
      <c r="I54" s="173"/>
      <c r="J54" s="545"/>
      <c r="K54" s="173"/>
      <c r="L54" s="548"/>
      <c r="M54" s="173"/>
      <c r="N54" s="545"/>
      <c r="O54" s="3"/>
      <c r="P54" s="256"/>
      <c r="Z54" s="327"/>
    </row>
    <row r="55" spans="1:26" ht="17.25" customHeight="1" x14ac:dyDescent="0.2">
      <c r="A55" s="201" t="s">
        <v>1233</v>
      </c>
      <c r="B55" s="740" t="s">
        <v>1013</v>
      </c>
      <c r="C55" s="1237" t="s">
        <v>547</v>
      </c>
      <c r="D55" s="1237"/>
      <c r="E55" s="173"/>
      <c r="F55" s="64">
        <f>IFERROR(VLOOKUP($N$6,'Acct Detail'!B:AB,26,FALSE),0)</f>
        <v>0</v>
      </c>
      <c r="G55" s="173"/>
      <c r="H55" s="548"/>
      <c r="I55" s="173"/>
      <c r="J55" s="64">
        <f>'FORM E4'!D56</f>
        <v>0</v>
      </c>
      <c r="K55" s="173"/>
      <c r="L55" s="548"/>
      <c r="M55" s="173"/>
      <c r="N55" s="64">
        <f>'FORM E4'!E56</f>
        <v>0</v>
      </c>
      <c r="O55" s="3"/>
      <c r="P55" s="260" t="s">
        <v>670</v>
      </c>
      <c r="Q55" s="704">
        <f>IF(AND(J55=0,N55&gt;0),100%,IFERROR((N55-J55)/J55,0))</f>
        <v>0</v>
      </c>
      <c r="Z55" s="327"/>
    </row>
    <row r="56" spans="1:26" ht="5.25" customHeight="1" x14ac:dyDescent="0.2">
      <c r="A56" s="201"/>
      <c r="B56" s="740"/>
      <c r="C56" s="1237"/>
      <c r="D56" s="1237"/>
      <c r="E56" s="173"/>
      <c r="F56" s="545"/>
      <c r="G56" s="173"/>
      <c r="H56" s="548"/>
      <c r="I56" s="173"/>
      <c r="J56" s="545"/>
      <c r="K56" s="173"/>
      <c r="L56" s="548"/>
      <c r="M56" s="173"/>
      <c r="N56" s="545"/>
      <c r="O56" s="3"/>
      <c r="P56" s="256"/>
      <c r="Z56" s="327"/>
    </row>
    <row r="57" spans="1:26" ht="17.25" customHeight="1" x14ac:dyDescent="0.2">
      <c r="A57" s="201" t="s">
        <v>1234</v>
      </c>
      <c r="B57" s="740" t="s">
        <v>1014</v>
      </c>
      <c r="C57" s="1237" t="s">
        <v>590</v>
      </c>
      <c r="D57" s="1237"/>
      <c r="E57" s="173"/>
      <c r="F57" s="64">
        <f>IFERROR(VLOOKUP($N$6,'Acct Detail'!B:AB,27,FALSE),0)</f>
        <v>0</v>
      </c>
      <c r="G57" s="173"/>
      <c r="H57" s="548"/>
      <c r="I57" s="173"/>
      <c r="J57" s="64">
        <f>'FORM E4'!D75</f>
        <v>0</v>
      </c>
      <c r="K57" s="173"/>
      <c r="L57" s="548"/>
      <c r="M57" s="173"/>
      <c r="N57" s="64">
        <f>'FORM E4'!E75</f>
        <v>0</v>
      </c>
      <c r="O57" s="3"/>
      <c r="P57" s="260" t="s">
        <v>670</v>
      </c>
      <c r="Q57" s="704">
        <f>IF(AND(J57=0,N57&gt;0),100%,IFERROR((N57-J57)/J57,0))</f>
        <v>0</v>
      </c>
      <c r="Z57" s="327"/>
    </row>
    <row r="58" spans="1:26" ht="5.25" customHeight="1" x14ac:dyDescent="0.2">
      <c r="A58" s="201"/>
      <c r="B58" s="740"/>
      <c r="C58" s="1237"/>
      <c r="D58" s="1237"/>
      <c r="E58" s="173"/>
      <c r="F58" s="545"/>
      <c r="G58" s="173"/>
      <c r="H58" s="548"/>
      <c r="I58" s="173"/>
      <c r="J58" s="545"/>
      <c r="K58" s="173"/>
      <c r="L58" s="548"/>
      <c r="M58" s="173"/>
      <c r="N58" s="545"/>
      <c r="O58" s="3"/>
      <c r="P58" s="255"/>
      <c r="Z58" s="327"/>
    </row>
    <row r="59" spans="1:26" ht="17.25" customHeight="1" x14ac:dyDescent="0.35">
      <c r="A59" s="201" t="s">
        <v>1235</v>
      </c>
      <c r="B59" s="740" t="s">
        <v>1015</v>
      </c>
      <c r="C59" s="741" t="s">
        <v>917</v>
      </c>
      <c r="D59" s="741"/>
      <c r="E59" s="173"/>
      <c r="F59" s="547">
        <f>F27-SUM(F34,F36,F37,F39,F41,F43,F49,F47,F45,F51,F53,F55,F57)</f>
        <v>0</v>
      </c>
      <c r="G59" s="173"/>
      <c r="H59" s="548"/>
      <c r="I59" s="173"/>
      <c r="J59" s="547">
        <f>J27-SUM(J34,J36,J37,J39,J41,J43,J49,J47,J45,J51,J53,J55,J57)</f>
        <v>0</v>
      </c>
      <c r="K59" s="173"/>
      <c r="L59" s="548"/>
      <c r="M59" s="173"/>
      <c r="N59" s="547">
        <f>N27-SUM(N34,N36,N37,N39,N41,N43,N49,N47,N45,N51,N53,N55,N57)</f>
        <v>0</v>
      </c>
      <c r="O59" s="3"/>
      <c r="P59" s="255"/>
      <c r="Z59" s="327"/>
    </row>
    <row r="60" spans="1:26" ht="5.25" customHeight="1" x14ac:dyDescent="0.2">
      <c r="A60" s="201"/>
      <c r="B60" s="544"/>
      <c r="C60" s="1237"/>
      <c r="D60" s="1237"/>
      <c r="E60" s="173"/>
      <c r="F60" s="545"/>
      <c r="G60" s="173"/>
      <c r="H60" s="548"/>
      <c r="I60" s="173"/>
      <c r="J60" s="545"/>
      <c r="K60" s="173"/>
      <c r="L60" s="548"/>
      <c r="M60" s="173"/>
      <c r="N60" s="545"/>
      <c r="O60" s="3"/>
      <c r="P60" s="3"/>
      <c r="Z60" s="327"/>
    </row>
    <row r="61" spans="1:26" ht="17.25" customHeight="1" x14ac:dyDescent="0.2">
      <c r="A61" s="201"/>
      <c r="B61" s="544"/>
      <c r="C61" s="1237" t="s">
        <v>548</v>
      </c>
      <c r="D61" s="1237"/>
      <c r="E61" s="173"/>
      <c r="F61" s="64">
        <f>SUM(F34:F59)</f>
        <v>0</v>
      </c>
      <c r="G61" s="173"/>
      <c r="H61" s="250">
        <f>H34+H39</f>
        <v>0</v>
      </c>
      <c r="I61" s="173"/>
      <c r="J61" s="64">
        <f>SUM(J34:J59)-J37</f>
        <v>0</v>
      </c>
      <c r="K61" s="173"/>
      <c r="L61" s="250">
        <f>L34+L39</f>
        <v>0</v>
      </c>
      <c r="M61" s="173"/>
      <c r="N61" s="64">
        <f>SUM(N34:N59)-N37</f>
        <v>0</v>
      </c>
      <c r="O61" s="3"/>
      <c r="P61" s="3"/>
      <c r="Z61" s="327"/>
    </row>
    <row r="62" spans="1:26" ht="8.25" customHeight="1" thickBot="1" x14ac:dyDescent="0.25">
      <c r="A62" s="204"/>
      <c r="B62" s="195"/>
      <c r="C62" s="1277"/>
      <c r="D62" s="1277"/>
      <c r="E62" s="195"/>
      <c r="F62" s="205"/>
      <c r="G62" s="195"/>
      <c r="H62" s="195"/>
      <c r="I62" s="195"/>
      <c r="J62" s="205"/>
      <c r="K62" s="195"/>
      <c r="L62" s="195"/>
      <c r="M62" s="195"/>
      <c r="N62" s="205"/>
      <c r="O62" s="3"/>
      <c r="P62" s="3"/>
      <c r="Z62" s="327"/>
    </row>
    <row r="63" spans="1:26" ht="12" hidden="1" customHeight="1" x14ac:dyDescent="0.2">
      <c r="A63" s="201"/>
      <c r="B63" s="174"/>
      <c r="C63" s="1278"/>
      <c r="D63" s="1278"/>
      <c r="E63" s="174"/>
      <c r="F63" s="174"/>
      <c r="G63" s="174"/>
      <c r="H63" s="174"/>
      <c r="I63" s="174"/>
      <c r="J63" s="174"/>
      <c r="K63" s="174"/>
      <c r="L63" s="174"/>
      <c r="M63" s="174"/>
      <c r="N63" s="174"/>
      <c r="O63" s="3"/>
      <c r="P63" s="3"/>
      <c r="Z63" s="327"/>
    </row>
    <row r="64" spans="1:26" ht="12" hidden="1" customHeight="1" x14ac:dyDescent="0.2">
      <c r="A64" s="1274" t="s">
        <v>578</v>
      </c>
      <c r="B64" s="1275"/>
      <c r="C64" s="1275"/>
      <c r="D64" s="1276"/>
      <c r="E64" s="57"/>
      <c r="F64" s="62">
        <f>F27-F61</f>
        <v>0</v>
      </c>
      <c r="G64" s="174"/>
      <c r="H64" s="174"/>
      <c r="I64" s="174"/>
      <c r="J64" s="62">
        <f>J27-J61</f>
        <v>0</v>
      </c>
      <c r="K64" s="174"/>
      <c r="L64" s="174"/>
      <c r="M64" s="174"/>
      <c r="N64" s="62">
        <f>N27-N61</f>
        <v>0</v>
      </c>
      <c r="O64" s="3"/>
      <c r="P64" s="3"/>
      <c r="Z64" s="327"/>
    </row>
    <row r="65" spans="1:26" ht="12.75" hidden="1" customHeight="1" thickBot="1" x14ac:dyDescent="0.25">
      <c r="A65" s="195"/>
      <c r="B65" s="209"/>
      <c r="C65" s="210"/>
      <c r="D65" s="210"/>
      <c r="E65" s="195"/>
      <c r="F65" s="195"/>
      <c r="G65" s="195"/>
      <c r="H65" s="195"/>
      <c r="I65" s="195"/>
      <c r="J65" s="195"/>
      <c r="K65" s="195"/>
      <c r="L65" s="195"/>
      <c r="M65" s="195"/>
      <c r="N65" s="195"/>
      <c r="O65" s="3"/>
      <c r="P65" s="3"/>
      <c r="Z65" s="327"/>
    </row>
    <row r="66" spans="1:26" ht="12.75" customHeight="1" x14ac:dyDescent="0.2">
      <c r="A66" s="173"/>
      <c r="B66" s="211"/>
      <c r="C66" s="211"/>
      <c r="D66" s="211"/>
      <c r="E66" s="174"/>
      <c r="F66" s="174" t="s">
        <v>546</v>
      </c>
      <c r="G66" s="174"/>
      <c r="H66" s="174"/>
      <c r="I66" s="174"/>
      <c r="J66" s="174"/>
      <c r="K66" s="174"/>
      <c r="L66" s="174"/>
      <c r="M66" s="174"/>
      <c r="N66" s="174" t="s">
        <v>352</v>
      </c>
      <c r="O66" s="3"/>
      <c r="P66" s="3"/>
      <c r="Z66" s="327"/>
    </row>
    <row r="67" spans="1:26" ht="17.25" customHeight="1" x14ac:dyDescent="0.2">
      <c r="A67" s="173"/>
      <c r="B67" s="1227" t="s">
        <v>329</v>
      </c>
      <c r="C67" s="1227"/>
      <c r="D67" s="1227"/>
      <c r="E67" s="173"/>
      <c r="F67" s="1206"/>
      <c r="G67" s="1207"/>
      <c r="H67" s="1207"/>
      <c r="I67" s="1207"/>
      <c r="J67" s="1207"/>
      <c r="K67" s="1207"/>
      <c r="L67" s="1208"/>
      <c r="M67" s="173"/>
      <c r="N67" s="412"/>
      <c r="O67" s="3"/>
      <c r="P67" s="3"/>
      <c r="Z67" s="327"/>
    </row>
    <row r="68" spans="1:26" ht="6" customHeight="1" x14ac:dyDescent="0.2">
      <c r="A68" s="173"/>
      <c r="B68" s="202"/>
      <c r="C68" s="202"/>
      <c r="D68" s="202"/>
      <c r="E68" s="173"/>
      <c r="F68" s="173"/>
      <c r="G68" s="173"/>
      <c r="H68" s="173"/>
      <c r="I68" s="173"/>
      <c r="J68" s="173"/>
      <c r="K68" s="173"/>
      <c r="L68" s="173"/>
      <c r="M68" s="173"/>
      <c r="N68" s="173"/>
      <c r="O68" s="3"/>
      <c r="P68" s="3"/>
      <c r="Z68" s="327"/>
    </row>
    <row r="69" spans="1:26" ht="17.25" customHeight="1" x14ac:dyDescent="0.2">
      <c r="A69" s="173"/>
      <c r="B69" s="1227" t="s">
        <v>749</v>
      </c>
      <c r="C69" s="1227"/>
      <c r="D69" s="1227"/>
      <c r="E69" s="173"/>
      <c r="F69" s="1206"/>
      <c r="G69" s="1207"/>
      <c r="H69" s="1207"/>
      <c r="I69" s="1207"/>
      <c r="J69" s="1207"/>
      <c r="K69" s="1207"/>
      <c r="L69" s="1208"/>
      <c r="M69" s="173"/>
      <c r="N69" s="412"/>
      <c r="O69" s="3"/>
      <c r="P69" s="3"/>
      <c r="Z69" s="327"/>
    </row>
    <row r="70" spans="1:26" ht="6" customHeight="1" x14ac:dyDescent="0.2">
      <c r="A70" s="173"/>
      <c r="B70" s="1227"/>
      <c r="C70" s="1227"/>
      <c r="D70" s="1227"/>
      <c r="E70" s="173"/>
      <c r="F70" s="173"/>
      <c r="G70" s="173"/>
      <c r="H70" s="173"/>
      <c r="I70" s="173"/>
      <c r="J70" s="173"/>
      <c r="K70" s="173"/>
      <c r="L70" s="173"/>
      <c r="M70" s="173"/>
      <c r="N70" s="3"/>
      <c r="O70" s="3"/>
      <c r="P70" s="3"/>
      <c r="Z70" s="327"/>
    </row>
    <row r="71" spans="1:26" ht="17.25" customHeight="1" x14ac:dyDescent="0.2">
      <c r="A71" s="173"/>
      <c r="B71" s="1227" t="s">
        <v>750</v>
      </c>
      <c r="C71" s="1227"/>
      <c r="D71" s="1227"/>
      <c r="E71" s="173"/>
      <c r="F71" s="1209"/>
      <c r="G71" s="1210"/>
      <c r="H71" s="1210"/>
      <c r="I71" s="1210"/>
      <c r="J71" s="1210"/>
      <c r="K71" s="1210"/>
      <c r="L71" s="1211"/>
      <c r="M71" s="173"/>
      <c r="N71" s="168"/>
      <c r="O71" s="3"/>
      <c r="Z71" s="327"/>
    </row>
    <row r="72" spans="1:26" ht="3" customHeight="1" x14ac:dyDescent="0.2">
      <c r="A72" s="173"/>
      <c r="B72" s="543"/>
      <c r="C72" s="543"/>
      <c r="D72" s="543"/>
      <c r="E72" s="543"/>
      <c r="F72" s="543"/>
      <c r="G72" s="543"/>
      <c r="H72" s="543"/>
      <c r="I72" s="543"/>
      <c r="J72" s="543"/>
      <c r="K72" s="543"/>
      <c r="L72" s="543"/>
      <c r="M72" s="543"/>
      <c r="N72" s="543"/>
      <c r="O72" s="3"/>
      <c r="P72" s="3"/>
      <c r="Z72" s="327"/>
    </row>
    <row r="73" spans="1:26" ht="15" hidden="1" customHeight="1" outlineLevel="1" x14ac:dyDescent="0.2">
      <c r="A73" s="173"/>
      <c r="B73" s="543"/>
      <c r="C73" s="542"/>
      <c r="D73" s="542" t="s">
        <v>774</v>
      </c>
      <c r="E73" s="543"/>
      <c r="F73" s="1283"/>
      <c r="G73" s="1283"/>
      <c r="H73" s="1283"/>
      <c r="I73" s="1283"/>
      <c r="J73" s="1283"/>
      <c r="K73" s="543"/>
      <c r="L73" s="543"/>
      <c r="M73" s="543"/>
      <c r="N73" s="168"/>
      <c r="O73" s="3"/>
      <c r="P73" s="699"/>
      <c r="Q73" s="1282"/>
      <c r="R73" s="1282"/>
      <c r="S73" s="1282"/>
      <c r="Z73" s="327"/>
    </row>
    <row r="74" spans="1:26" ht="3.75" hidden="1" customHeight="1" outlineLevel="1" x14ac:dyDescent="0.2">
      <c r="A74" s="173"/>
      <c r="B74" s="543"/>
      <c r="C74" s="542"/>
      <c r="D74" s="542"/>
      <c r="E74" s="543"/>
      <c r="F74" s="543"/>
      <c r="G74" s="543"/>
      <c r="H74" s="543"/>
      <c r="I74" s="543"/>
      <c r="J74" s="543"/>
      <c r="K74" s="543"/>
      <c r="L74" s="543"/>
      <c r="M74" s="543"/>
      <c r="N74" s="543"/>
      <c r="O74" s="3"/>
      <c r="P74" s="3"/>
      <c r="Q74" s="1282"/>
      <c r="R74" s="1282"/>
      <c r="S74" s="1282"/>
      <c r="Z74" s="327"/>
    </row>
    <row r="75" spans="1:26" ht="15" hidden="1" customHeight="1" outlineLevel="1" x14ac:dyDescent="0.2">
      <c r="A75" s="173"/>
      <c r="B75" s="543"/>
      <c r="C75" s="542"/>
      <c r="D75" s="542" t="s">
        <v>1071</v>
      </c>
      <c r="E75" s="543"/>
      <c r="F75" s="1283"/>
      <c r="G75" s="1283"/>
      <c r="H75" s="1283"/>
      <c r="I75" s="1283"/>
      <c r="J75" s="1283"/>
      <c r="K75" s="543"/>
      <c r="L75" s="543"/>
      <c r="M75" s="543"/>
      <c r="N75" s="168"/>
      <c r="O75" s="3"/>
      <c r="P75" s="699"/>
      <c r="Q75" s="1282"/>
      <c r="R75" s="1282"/>
      <c r="S75" s="1282"/>
      <c r="Z75" s="327"/>
    </row>
    <row r="76" spans="1:26" ht="3.75" hidden="1" customHeight="1" outlineLevel="1" x14ac:dyDescent="0.2">
      <c r="A76" s="173"/>
      <c r="B76" s="543"/>
      <c r="C76" s="542"/>
      <c r="D76" s="542"/>
      <c r="E76" s="543"/>
      <c r="F76" s="543"/>
      <c r="G76" s="543"/>
      <c r="H76" s="543"/>
      <c r="I76" s="543"/>
      <c r="J76" s="543"/>
      <c r="K76" s="543"/>
      <c r="L76" s="543"/>
      <c r="M76" s="543"/>
      <c r="N76" s="543"/>
      <c r="O76" s="3"/>
      <c r="P76" s="3"/>
      <c r="Q76" s="1282"/>
      <c r="R76" s="1282"/>
      <c r="S76" s="1282"/>
      <c r="Z76" s="327"/>
    </row>
    <row r="77" spans="1:26" ht="15" hidden="1" customHeight="1" outlineLevel="1" x14ac:dyDescent="0.2">
      <c r="A77" s="173"/>
      <c r="B77" s="543"/>
      <c r="C77" s="542"/>
      <c r="D77" s="542" t="s">
        <v>773</v>
      </c>
      <c r="E77" s="543"/>
      <c r="F77" s="1283"/>
      <c r="G77" s="1283"/>
      <c r="H77" s="1283"/>
      <c r="I77" s="1283"/>
      <c r="J77" s="1283"/>
      <c r="K77" s="543"/>
      <c r="L77" s="543"/>
      <c r="M77" s="543"/>
      <c r="N77" s="1093"/>
      <c r="O77" s="3"/>
      <c r="P77" s="699"/>
      <c r="Q77" s="1282"/>
      <c r="R77" s="1282"/>
      <c r="S77" s="1282"/>
      <c r="Z77" s="327"/>
    </row>
    <row r="78" spans="1:26" ht="12" customHeight="1" collapsed="1" thickBot="1" x14ac:dyDescent="0.25">
      <c r="A78" s="195"/>
      <c r="B78" s="195"/>
      <c r="C78" s="195"/>
      <c r="D78" s="195"/>
      <c r="E78" s="195"/>
      <c r="F78" s="195"/>
      <c r="G78" s="195"/>
      <c r="H78" s="195"/>
      <c r="I78" s="195"/>
      <c r="J78" s="195"/>
      <c r="K78" s="195"/>
      <c r="L78" s="195"/>
      <c r="M78" s="195"/>
      <c r="N78" s="195" t="s">
        <v>3888</v>
      </c>
      <c r="O78" s="3"/>
      <c r="P78" s="3"/>
      <c r="Z78" s="327"/>
    </row>
    <row r="79" spans="1:26" x14ac:dyDescent="0.2">
      <c r="N79" s="58"/>
      <c r="Z79" s="327"/>
    </row>
    <row r="80" spans="1:26" ht="12.75" customHeight="1" x14ac:dyDescent="0.2">
      <c r="A80" s="1269" t="s">
        <v>1294</v>
      </c>
      <c r="B80" s="1270"/>
      <c r="C80" s="1270"/>
      <c r="D80" s="1271"/>
      <c r="E80" s="173"/>
      <c r="F80" s="3"/>
      <c r="G80" s="803"/>
      <c r="H80" s="803"/>
      <c r="I80" s="803"/>
      <c r="J80" s="803"/>
      <c r="K80" s="190"/>
      <c r="L80" s="1279" t="s">
        <v>1295</v>
      </c>
      <c r="M80" s="1280"/>
      <c r="N80" s="1281"/>
      <c r="O80" s="3"/>
      <c r="P80" s="255"/>
      <c r="Z80" s="327"/>
    </row>
    <row r="81" spans="1:26" ht="12.75" customHeight="1" x14ac:dyDescent="0.2">
      <c r="A81" s="1272"/>
      <c r="B81" s="1273"/>
      <c r="C81" s="1273"/>
      <c r="D81" s="1252"/>
      <c r="E81" s="173"/>
      <c r="F81" s="1235" t="s">
        <v>1102</v>
      </c>
      <c r="G81" s="1235"/>
      <c r="H81" s="1235"/>
      <c r="I81" s="1235"/>
      <c r="J81" s="1235"/>
      <c r="K81" s="199"/>
      <c r="L81" s="206" t="s">
        <v>243</v>
      </c>
      <c r="M81" s="207"/>
      <c r="N81" s="522" t="s">
        <v>242</v>
      </c>
      <c r="O81" s="3"/>
      <c r="P81" s="255"/>
      <c r="Z81" s="327"/>
    </row>
    <row r="82" spans="1:26" ht="5.25" customHeight="1" x14ac:dyDescent="0.2">
      <c r="A82" s="201"/>
      <c r="B82" s="186"/>
      <c r="C82" s="1237"/>
      <c r="D82" s="1237"/>
      <c r="E82" s="173"/>
      <c r="F82" s="1235"/>
      <c r="G82" s="1235"/>
      <c r="H82" s="1235"/>
      <c r="I82" s="1235"/>
      <c r="J82" s="1235"/>
      <c r="K82" s="173"/>
      <c r="L82" s="173"/>
      <c r="M82" s="173"/>
      <c r="N82" s="3"/>
      <c r="O82" s="3"/>
      <c r="P82" s="255"/>
      <c r="Z82" s="327"/>
    </row>
    <row r="83" spans="1:26" ht="17.25" customHeight="1" x14ac:dyDescent="0.2">
      <c r="A83" s="201"/>
      <c r="B83" s="740" t="s">
        <v>1006</v>
      </c>
      <c r="C83" s="1237" t="s">
        <v>549</v>
      </c>
      <c r="D83" s="1237"/>
      <c r="E83" s="173"/>
      <c r="F83" s="1235"/>
      <c r="G83" s="1235"/>
      <c r="H83" s="1235"/>
      <c r="I83" s="1235"/>
      <c r="J83" s="1235"/>
      <c r="K83" s="173"/>
      <c r="L83" s="250">
        <f>'E1 NEW PN'!I111</f>
        <v>0</v>
      </c>
      <c r="M83" s="173"/>
      <c r="N83" s="64">
        <f>'E1 NEW PN'!Q111</f>
        <v>0</v>
      </c>
      <c r="O83" s="3"/>
      <c r="P83" s="775" t="s">
        <v>1094</v>
      </c>
      <c r="Q83" s="704"/>
      <c r="Z83" s="327"/>
    </row>
    <row r="84" spans="1:26" ht="6" customHeight="1" x14ac:dyDescent="0.2">
      <c r="A84" s="201"/>
      <c r="B84" s="740"/>
      <c r="C84" s="1237"/>
      <c r="D84" s="1237"/>
      <c r="E84" s="173"/>
      <c r="F84" s="803"/>
      <c r="G84" s="803"/>
      <c r="H84" s="803"/>
      <c r="I84" s="803"/>
      <c r="J84" s="803"/>
      <c r="K84" s="173"/>
      <c r="L84" s="548"/>
      <c r="M84" s="173"/>
      <c r="N84" s="545"/>
      <c r="O84" s="3"/>
      <c r="P84" s="256"/>
      <c r="Z84" s="327"/>
    </row>
    <row r="85" spans="1:26" ht="17.25" customHeight="1" x14ac:dyDescent="0.2">
      <c r="A85" s="201"/>
      <c r="B85" s="740" t="s">
        <v>1008</v>
      </c>
      <c r="C85" s="1237" t="s">
        <v>954</v>
      </c>
      <c r="D85" s="1237"/>
      <c r="E85" s="173"/>
      <c r="F85" s="1234" t="str">
        <f>"Complete the Create Position request in Workday with the following comment-- New Position approved in FY21 Budget on "&amp;N6&amp;"."</f>
        <v>Complete the Create Position request in Workday with the following comment-- New Position approved in FY21 Budget on NEW.</v>
      </c>
      <c r="G85" s="1234"/>
      <c r="H85" s="1234"/>
      <c r="I85" s="1234"/>
      <c r="J85" s="1234"/>
      <c r="K85" s="173"/>
      <c r="L85" s="250">
        <f>'E2 NEW PN'!J111</f>
        <v>0</v>
      </c>
      <c r="M85" s="173"/>
      <c r="N85" s="64">
        <f>'E2 NEW PN'!X111</f>
        <v>0</v>
      </c>
      <c r="O85" s="3"/>
      <c r="P85" s="787" t="s">
        <v>1093</v>
      </c>
      <c r="Q85" s="704"/>
      <c r="Z85" s="327"/>
    </row>
    <row r="86" spans="1:26" ht="5.25" customHeight="1" x14ac:dyDescent="0.2">
      <c r="A86" s="173"/>
      <c r="B86" s="740"/>
      <c r="C86" s="1237"/>
      <c r="D86" s="1237"/>
      <c r="E86" s="173"/>
      <c r="F86" s="1234"/>
      <c r="G86" s="1234"/>
      <c r="H86" s="1234"/>
      <c r="I86" s="1234"/>
      <c r="J86" s="1234"/>
      <c r="K86" s="173"/>
      <c r="L86" s="548"/>
      <c r="M86" s="173"/>
      <c r="N86" s="545"/>
      <c r="O86" s="3"/>
      <c r="P86" s="256"/>
      <c r="Z86" s="327"/>
    </row>
    <row r="87" spans="1:26" ht="17.25" customHeight="1" x14ac:dyDescent="0.2">
      <c r="A87" s="201"/>
      <c r="B87" s="740">
        <v>5900</v>
      </c>
      <c r="C87" s="1237" t="s">
        <v>276</v>
      </c>
      <c r="D87" s="1237"/>
      <c r="E87" s="173"/>
      <c r="F87" s="1234"/>
      <c r="G87" s="1234"/>
      <c r="H87" s="1234"/>
      <c r="I87" s="1234"/>
      <c r="J87" s="1234"/>
      <c r="K87" s="173"/>
      <c r="L87" s="548"/>
      <c r="M87" s="173"/>
      <c r="N87" s="64">
        <f>'E1 NEW PN'!S111+'E2 NEW PN'!Z111</f>
        <v>0</v>
      </c>
      <c r="O87" s="3"/>
      <c r="P87" s="256"/>
      <c r="Z87" s="327"/>
    </row>
    <row r="88" spans="1:26" ht="4.5" customHeight="1" x14ac:dyDescent="0.2">
      <c r="A88" s="545"/>
      <c r="B88" s="545"/>
      <c r="C88" s="545"/>
      <c r="D88" s="545"/>
      <c r="E88" s="545"/>
      <c r="F88" s="1234"/>
      <c r="G88" s="1234"/>
      <c r="H88" s="1234"/>
      <c r="I88" s="1234"/>
      <c r="J88" s="1234"/>
      <c r="K88" s="545"/>
      <c r="L88" s="545"/>
      <c r="M88" s="545"/>
      <c r="N88" s="804"/>
      <c r="O88" s="3"/>
      <c r="P88" s="3"/>
      <c r="Z88" s="327"/>
    </row>
    <row r="89" spans="1:26" ht="17.25" customHeight="1" x14ac:dyDescent="0.2">
      <c r="A89" s="201"/>
      <c r="B89" s="801"/>
      <c r="C89" s="1237" t="s">
        <v>1095</v>
      </c>
      <c r="D89" s="1237"/>
      <c r="E89" s="173"/>
      <c r="F89" s="1234"/>
      <c r="G89" s="1234"/>
      <c r="H89" s="1234"/>
      <c r="I89" s="1234"/>
      <c r="J89" s="1234"/>
      <c r="K89" s="776"/>
      <c r="L89" s="250">
        <f>L83+L85</f>
        <v>0</v>
      </c>
      <c r="M89" s="173"/>
      <c r="N89" s="64">
        <f>N83+N85+N87</f>
        <v>0</v>
      </c>
      <c r="O89" s="3"/>
      <c r="P89" s="3"/>
      <c r="Z89" s="327"/>
    </row>
    <row r="90" spans="1:26" ht="6.75" customHeight="1" x14ac:dyDescent="0.2">
      <c r="A90" s="417"/>
      <c r="B90" s="417"/>
      <c r="C90" s="417"/>
      <c r="D90" s="417"/>
      <c r="E90" s="417"/>
      <c r="F90" s="417"/>
      <c r="G90" s="417"/>
      <c r="H90" s="417"/>
      <c r="I90" s="417"/>
      <c r="J90" s="417"/>
      <c r="K90" s="417"/>
      <c r="L90" s="417"/>
      <c r="M90" s="417"/>
      <c r="N90" s="729"/>
    </row>
    <row r="91" spans="1:26" ht="12.75" x14ac:dyDescent="0.2">
      <c r="A91" s="417"/>
      <c r="B91" s="417"/>
      <c r="C91" s="417"/>
      <c r="D91" s="417"/>
      <c r="E91" s="417"/>
      <c r="F91" s="417"/>
      <c r="G91" s="417"/>
      <c r="H91" s="417"/>
      <c r="I91" s="417"/>
      <c r="J91" s="417"/>
      <c r="K91" s="417"/>
      <c r="L91" s="417"/>
      <c r="M91" s="417"/>
      <c r="N91" s="728"/>
    </row>
    <row r="92" spans="1:26" ht="12.75" x14ac:dyDescent="0.2">
      <c r="A92" s="417"/>
      <c r="B92" s="417"/>
      <c r="C92" s="417"/>
      <c r="D92" s="417"/>
      <c r="E92" s="417"/>
      <c r="F92" s="417"/>
      <c r="G92" s="417"/>
      <c r="H92" s="417"/>
      <c r="I92" s="417"/>
      <c r="J92" s="417"/>
      <c r="K92" s="417"/>
      <c r="L92" s="417"/>
      <c r="M92" s="417"/>
      <c r="N92" s="728"/>
    </row>
    <row r="93" spans="1:26" ht="12.75" x14ac:dyDescent="0.2">
      <c r="A93" s="417"/>
      <c r="B93" s="417"/>
      <c r="C93" s="417"/>
      <c r="D93" s="417"/>
      <c r="E93" s="417"/>
      <c r="F93" s="788"/>
      <c r="G93" s="788"/>
      <c r="H93" s="788"/>
      <c r="I93" s="788"/>
      <c r="J93" s="788"/>
      <c r="K93" s="788"/>
      <c r="L93" s="788"/>
      <c r="M93" s="417"/>
      <c r="N93" s="730"/>
    </row>
    <row r="94" spans="1:26" x14ac:dyDescent="0.2">
      <c r="A94" s="417"/>
      <c r="B94" s="417"/>
      <c r="C94" s="417"/>
      <c r="D94" s="417"/>
      <c r="E94" s="417"/>
      <c r="F94" s="788"/>
      <c r="G94" s="788"/>
      <c r="H94" s="788"/>
      <c r="I94" s="788"/>
      <c r="J94" s="788"/>
      <c r="K94" s="788"/>
      <c r="L94" s="788"/>
      <c r="M94" s="417"/>
      <c r="N94" s="417"/>
    </row>
    <row r="95" spans="1:26" x14ac:dyDescent="0.2">
      <c r="A95" s="417"/>
      <c r="B95" s="417"/>
      <c r="C95" s="417"/>
      <c r="D95" s="417"/>
      <c r="E95" s="417"/>
      <c r="F95" s="788"/>
      <c r="G95" s="788"/>
      <c r="H95" s="788"/>
      <c r="I95" s="788"/>
      <c r="J95" s="788"/>
      <c r="K95" s="788"/>
      <c r="L95" s="788"/>
      <c r="M95" s="417"/>
      <c r="N95" s="417"/>
    </row>
    <row r="96" spans="1:26" x14ac:dyDescent="0.2">
      <c r="A96" s="417"/>
      <c r="B96" s="417"/>
      <c r="C96" s="788"/>
      <c r="D96" s="417"/>
      <c r="E96" s="417"/>
      <c r="F96" s="788"/>
      <c r="G96" s="788"/>
      <c r="H96" s="788"/>
      <c r="I96" s="788"/>
      <c r="J96" s="788"/>
      <c r="K96" s="788"/>
      <c r="L96" s="788"/>
      <c r="M96" s="417"/>
      <c r="N96" s="417"/>
    </row>
    <row r="97" spans="1:14" x14ac:dyDescent="0.2">
      <c r="A97" s="417"/>
      <c r="B97" s="417"/>
      <c r="C97" s="417"/>
      <c r="D97" s="417"/>
      <c r="E97" s="417"/>
      <c r="F97" s="788"/>
      <c r="G97" s="788"/>
      <c r="H97" s="788"/>
      <c r="I97" s="788"/>
      <c r="J97" s="788"/>
      <c r="K97" s="788"/>
      <c r="L97" s="788"/>
      <c r="M97" s="417"/>
      <c r="N97" s="417"/>
    </row>
    <row r="98" spans="1:14" x14ac:dyDescent="0.2">
      <c r="A98" s="417"/>
      <c r="B98" s="417"/>
      <c r="C98" s="417"/>
      <c r="D98" s="417"/>
      <c r="E98" s="417"/>
      <c r="F98" s="788"/>
      <c r="G98" s="788"/>
      <c r="H98" s="788"/>
      <c r="I98" s="788"/>
      <c r="J98" s="788"/>
      <c r="K98" s="788"/>
      <c r="L98" s="788"/>
      <c r="M98" s="417"/>
      <c r="N98" s="417"/>
    </row>
    <row r="99" spans="1:14" x14ac:dyDescent="0.2">
      <c r="A99" s="417"/>
      <c r="B99" s="417"/>
      <c r="C99" s="417"/>
      <c r="D99" s="417"/>
      <c r="E99" s="417"/>
      <c r="F99" s="788"/>
      <c r="G99" s="788"/>
      <c r="H99" s="788"/>
      <c r="I99" s="788"/>
      <c r="J99" s="788"/>
      <c r="K99" s="788"/>
      <c r="L99" s="788"/>
      <c r="M99" s="417"/>
      <c r="N99" s="417"/>
    </row>
    <row r="100" spans="1:14" x14ac:dyDescent="0.2">
      <c r="F100" s="788"/>
      <c r="G100" s="788"/>
      <c r="H100" s="788"/>
      <c r="I100" s="788"/>
      <c r="J100" s="788"/>
      <c r="K100" s="788"/>
      <c r="L100" s="788"/>
    </row>
    <row r="101" spans="1:14" x14ac:dyDescent="0.2">
      <c r="F101" s="788"/>
      <c r="G101" s="788"/>
      <c r="H101" s="788"/>
      <c r="I101" s="788"/>
      <c r="J101" s="788"/>
      <c r="K101" s="788"/>
      <c r="L101" s="788"/>
    </row>
    <row r="102" spans="1:14" x14ac:dyDescent="0.2">
      <c r="F102" s="788"/>
      <c r="G102" s="788"/>
      <c r="H102" s="788"/>
      <c r="I102" s="788"/>
      <c r="J102" s="788"/>
      <c r="K102" s="788"/>
      <c r="L102" s="788"/>
    </row>
    <row r="103" spans="1:14" x14ac:dyDescent="0.2">
      <c r="F103" s="788"/>
      <c r="G103" s="788"/>
      <c r="H103" s="788"/>
      <c r="I103" s="788"/>
      <c r="J103" s="788"/>
      <c r="K103" s="788"/>
      <c r="L103" s="788"/>
    </row>
  </sheetData>
  <sheetProtection algorithmName="SHA-512" hashValue="k4aWGPca4RRN9VtTsCUu3Hu0uZTTbGhU7XwuYZ2awKuKBa6wvYkppOmA6j1WkPIlZugbFmbBB71LBbt3uz2vFQ==" saltValue="2frmbpRMS+yqJL59wSntew==" spinCount="100000" sheet="1" objects="1" scenarios="1"/>
  <dataConsolidate>
    <dataRefs count="1">
      <dataRef ref="AG1:AI1" sheet="SUMMARY FORM" r:id="rId1"/>
    </dataRefs>
  </dataConsolidate>
  <mergeCells count="89">
    <mergeCell ref="C89:D89"/>
    <mergeCell ref="C85:D85"/>
    <mergeCell ref="C86:D86"/>
    <mergeCell ref="C87:D87"/>
    <mergeCell ref="C82:D82"/>
    <mergeCell ref="C83:D83"/>
    <mergeCell ref="C84:D84"/>
    <mergeCell ref="L80:N80"/>
    <mergeCell ref="Q73:S77"/>
    <mergeCell ref="F73:J73"/>
    <mergeCell ref="F75:J75"/>
    <mergeCell ref="F77:J77"/>
    <mergeCell ref="A80:D81"/>
    <mergeCell ref="C61:D61"/>
    <mergeCell ref="C57:D57"/>
    <mergeCell ref="A64:D64"/>
    <mergeCell ref="B67:D67"/>
    <mergeCell ref="C62:D62"/>
    <mergeCell ref="C63:D63"/>
    <mergeCell ref="C58:D58"/>
    <mergeCell ref="C60:D60"/>
    <mergeCell ref="C54:D54"/>
    <mergeCell ref="C55:D55"/>
    <mergeCell ref="B71:D71"/>
    <mergeCell ref="C56:D56"/>
    <mergeCell ref="B69:D69"/>
    <mergeCell ref="B70:D70"/>
    <mergeCell ref="A3:N3"/>
    <mergeCell ref="A5:N5"/>
    <mergeCell ref="A7:I7"/>
    <mergeCell ref="A11:N11"/>
    <mergeCell ref="A4:C4"/>
    <mergeCell ref="A6:C6"/>
    <mergeCell ref="A8:C8"/>
    <mergeCell ref="J10:N10"/>
    <mergeCell ref="F4:I4"/>
    <mergeCell ref="F6:I6"/>
    <mergeCell ref="F10:I10"/>
    <mergeCell ref="J4:L4"/>
    <mergeCell ref="F8:I8"/>
    <mergeCell ref="A9:I9"/>
    <mergeCell ref="D10:E10"/>
    <mergeCell ref="A10:C10"/>
    <mergeCell ref="A30:D32"/>
    <mergeCell ref="D12:E12"/>
    <mergeCell ref="C46:D46"/>
    <mergeCell ref="C44:D44"/>
    <mergeCell ref="B27:D27"/>
    <mergeCell ref="C40:D40"/>
    <mergeCell ref="C45:D45"/>
    <mergeCell ref="C38:D38"/>
    <mergeCell ref="C34:D34"/>
    <mergeCell ref="C35:D35"/>
    <mergeCell ref="C36:D36"/>
    <mergeCell ref="C39:D39"/>
    <mergeCell ref="C42:D42"/>
    <mergeCell ref="C43:D43"/>
    <mergeCell ref="D4:E4"/>
    <mergeCell ref="F85:J89"/>
    <mergeCell ref="F81:J83"/>
    <mergeCell ref="B24:D24"/>
    <mergeCell ref="B28:D28"/>
    <mergeCell ref="C52:D52"/>
    <mergeCell ref="C53:D53"/>
    <mergeCell ref="C50:D50"/>
    <mergeCell ref="B26:D26"/>
    <mergeCell ref="B25:D25"/>
    <mergeCell ref="C49:D49"/>
    <mergeCell ref="C41:D41"/>
    <mergeCell ref="B14:D14"/>
    <mergeCell ref="A13:N13"/>
    <mergeCell ref="J12:N12"/>
    <mergeCell ref="C33:D33"/>
    <mergeCell ref="F67:L67"/>
    <mergeCell ref="F69:L69"/>
    <mergeCell ref="F71:L71"/>
    <mergeCell ref="D8:E8"/>
    <mergeCell ref="D6:E6"/>
    <mergeCell ref="B29:D29"/>
    <mergeCell ref="F12:I12"/>
    <mergeCell ref="A15:D17"/>
    <mergeCell ref="B18:D18"/>
    <mergeCell ref="B19:D19"/>
    <mergeCell ref="B20:D20"/>
    <mergeCell ref="B23:D23"/>
    <mergeCell ref="L30:N30"/>
    <mergeCell ref="L31:N31"/>
    <mergeCell ref="H30:J30"/>
    <mergeCell ref="H31:J31"/>
  </mergeCells>
  <phoneticPr fontId="7" type="noConversion"/>
  <conditionalFormatting sqref="Q23">
    <cfRule type="cellIs" dxfId="104" priority="123" operator="equal">
      <formula>0</formula>
    </cfRule>
    <cfRule type="cellIs" dxfId="103" priority="126" operator="greaterThan">
      <formula>0.0999</formula>
    </cfRule>
  </conditionalFormatting>
  <conditionalFormatting sqref="Q23">
    <cfRule type="cellIs" dxfId="102" priority="125" operator="lessThan">
      <formula>-0.0999</formula>
    </cfRule>
  </conditionalFormatting>
  <conditionalFormatting sqref="Q23">
    <cfRule type="containsErrors" dxfId="101" priority="124">
      <formula>ISERROR(Q23)</formula>
    </cfRule>
  </conditionalFormatting>
  <conditionalFormatting sqref="Q25">
    <cfRule type="cellIs" dxfId="100" priority="83" operator="equal">
      <formula>0</formula>
    </cfRule>
    <cfRule type="cellIs" dxfId="99" priority="86" operator="greaterThan">
      <formula>0.0999</formula>
    </cfRule>
  </conditionalFormatting>
  <conditionalFormatting sqref="Q25">
    <cfRule type="cellIs" dxfId="98" priority="85" operator="lessThan">
      <formula>-0.0999</formula>
    </cfRule>
  </conditionalFormatting>
  <conditionalFormatting sqref="Q25">
    <cfRule type="containsErrors" dxfId="97" priority="84">
      <formula>ISERROR(Q25)</formula>
    </cfRule>
  </conditionalFormatting>
  <conditionalFormatting sqref="Q34">
    <cfRule type="cellIs" dxfId="96" priority="79" operator="equal">
      <formula>0</formula>
    </cfRule>
    <cfRule type="cellIs" dxfId="95" priority="82" operator="greaterThan">
      <formula>0.0999</formula>
    </cfRule>
  </conditionalFormatting>
  <conditionalFormatting sqref="Q34">
    <cfRule type="cellIs" dxfId="94" priority="81" operator="lessThan">
      <formula>-0.0999</formula>
    </cfRule>
  </conditionalFormatting>
  <conditionalFormatting sqref="Q34">
    <cfRule type="containsErrors" dxfId="93" priority="80">
      <formula>ISERROR(Q34)</formula>
    </cfRule>
  </conditionalFormatting>
  <conditionalFormatting sqref="Q36">
    <cfRule type="cellIs" dxfId="92" priority="75" operator="equal">
      <formula>0</formula>
    </cfRule>
    <cfRule type="cellIs" dxfId="91" priority="78" operator="greaterThan">
      <formula>0.0999</formula>
    </cfRule>
  </conditionalFormatting>
  <conditionalFormatting sqref="Q36">
    <cfRule type="cellIs" dxfId="90" priority="77" operator="lessThan">
      <formula>-0.0999</formula>
    </cfRule>
  </conditionalFormatting>
  <conditionalFormatting sqref="Q36">
    <cfRule type="containsErrors" dxfId="89" priority="76">
      <formula>ISERROR(Q36)</formula>
    </cfRule>
  </conditionalFormatting>
  <conditionalFormatting sqref="Q39">
    <cfRule type="cellIs" dxfId="88" priority="71" operator="equal">
      <formula>0</formula>
    </cfRule>
    <cfRule type="cellIs" dxfId="87" priority="74" operator="greaterThan">
      <formula>0.0999</formula>
    </cfRule>
  </conditionalFormatting>
  <conditionalFormatting sqref="Q39">
    <cfRule type="cellIs" dxfId="86" priority="73" operator="lessThan">
      <formula>-0.0999</formula>
    </cfRule>
  </conditionalFormatting>
  <conditionalFormatting sqref="Q39">
    <cfRule type="containsErrors" dxfId="85" priority="72">
      <formula>ISERROR(Q39)</formula>
    </cfRule>
  </conditionalFormatting>
  <conditionalFormatting sqref="Q41">
    <cfRule type="cellIs" dxfId="84" priority="67" operator="equal">
      <formula>0</formula>
    </cfRule>
    <cfRule type="cellIs" dxfId="83" priority="70" operator="greaterThan">
      <formula>0.0999</formula>
    </cfRule>
  </conditionalFormatting>
  <conditionalFormatting sqref="Q41">
    <cfRule type="cellIs" dxfId="82" priority="69" operator="lessThan">
      <formula>-0.0999</formula>
    </cfRule>
  </conditionalFormatting>
  <conditionalFormatting sqref="Q41">
    <cfRule type="containsErrors" dxfId="81" priority="68">
      <formula>ISERROR(Q41)</formula>
    </cfRule>
  </conditionalFormatting>
  <conditionalFormatting sqref="Q49">
    <cfRule type="cellIs" dxfId="80" priority="63" operator="equal">
      <formula>0</formula>
    </cfRule>
    <cfRule type="cellIs" dxfId="79" priority="66" operator="greaterThan">
      <formula>0.0999</formula>
    </cfRule>
  </conditionalFormatting>
  <conditionalFormatting sqref="Q49">
    <cfRule type="cellIs" dxfId="78" priority="65" operator="lessThan">
      <formula>-0.0999</formula>
    </cfRule>
  </conditionalFormatting>
  <conditionalFormatting sqref="Q49">
    <cfRule type="containsErrors" dxfId="77" priority="64">
      <formula>ISERROR(Q49)</formula>
    </cfRule>
  </conditionalFormatting>
  <conditionalFormatting sqref="Q45">
    <cfRule type="cellIs" dxfId="76" priority="59" operator="equal">
      <formula>0</formula>
    </cfRule>
    <cfRule type="cellIs" dxfId="75" priority="62" operator="greaterThan">
      <formula>0.0999</formula>
    </cfRule>
  </conditionalFormatting>
  <conditionalFormatting sqref="Q45">
    <cfRule type="cellIs" dxfId="74" priority="61" operator="lessThan">
      <formula>-0.0999</formula>
    </cfRule>
  </conditionalFormatting>
  <conditionalFormatting sqref="Q45">
    <cfRule type="containsErrors" dxfId="73" priority="60">
      <formula>ISERROR(Q45)</formula>
    </cfRule>
  </conditionalFormatting>
  <conditionalFormatting sqref="Q51">
    <cfRule type="cellIs" dxfId="72" priority="55" operator="equal">
      <formula>0</formula>
    </cfRule>
    <cfRule type="cellIs" dxfId="71" priority="58" operator="greaterThan">
      <formula>0.0999</formula>
    </cfRule>
  </conditionalFormatting>
  <conditionalFormatting sqref="Q51">
    <cfRule type="cellIs" dxfId="70" priority="57" operator="lessThan">
      <formula>-0.0999</formula>
    </cfRule>
  </conditionalFormatting>
  <conditionalFormatting sqref="Q51">
    <cfRule type="containsErrors" dxfId="69" priority="56">
      <formula>ISERROR(Q51)</formula>
    </cfRule>
  </conditionalFormatting>
  <conditionalFormatting sqref="Q53">
    <cfRule type="cellIs" dxfId="68" priority="51" operator="equal">
      <formula>0</formula>
    </cfRule>
    <cfRule type="cellIs" dxfId="67" priority="54" operator="greaterThan">
      <formula>0.0999</formula>
    </cfRule>
  </conditionalFormatting>
  <conditionalFormatting sqref="Q53">
    <cfRule type="cellIs" dxfId="66" priority="53" operator="lessThan">
      <formula>-0.0999</formula>
    </cfRule>
  </conditionalFormatting>
  <conditionalFormatting sqref="Q53">
    <cfRule type="containsErrors" dxfId="65" priority="52">
      <formula>ISERROR(Q53)</formula>
    </cfRule>
  </conditionalFormatting>
  <conditionalFormatting sqref="Q55">
    <cfRule type="cellIs" dxfId="64" priority="47" operator="equal">
      <formula>0</formula>
    </cfRule>
    <cfRule type="cellIs" dxfId="63" priority="50" operator="greaterThan">
      <formula>0.0999</formula>
    </cfRule>
  </conditionalFormatting>
  <conditionalFormatting sqref="Q55">
    <cfRule type="cellIs" dxfId="62" priority="49" operator="lessThan">
      <formula>-0.0999</formula>
    </cfRule>
  </conditionalFormatting>
  <conditionalFormatting sqref="Q55">
    <cfRule type="containsErrors" dxfId="61" priority="48">
      <formula>ISERROR(Q55)</formula>
    </cfRule>
  </conditionalFormatting>
  <conditionalFormatting sqref="Q57">
    <cfRule type="cellIs" dxfId="60" priority="39" operator="equal">
      <formula>0</formula>
    </cfRule>
    <cfRule type="cellIs" dxfId="59" priority="42" operator="greaterThan">
      <formula>0.0999</formula>
    </cfRule>
  </conditionalFormatting>
  <conditionalFormatting sqref="Q57">
    <cfRule type="cellIs" dxfId="58" priority="41" operator="lessThan">
      <formula>-0.0999</formula>
    </cfRule>
  </conditionalFormatting>
  <conditionalFormatting sqref="Q57">
    <cfRule type="containsErrors" dxfId="57" priority="40">
      <formula>ISERROR(Q57)</formula>
    </cfRule>
  </conditionalFormatting>
  <conditionalFormatting sqref="Q83">
    <cfRule type="cellIs" dxfId="56" priority="35" operator="equal">
      <formula>0</formula>
    </cfRule>
    <cfRule type="cellIs" dxfId="55" priority="38" operator="greaterThan">
      <formula>0.0999</formula>
    </cfRule>
  </conditionalFormatting>
  <conditionalFormatting sqref="Q83">
    <cfRule type="cellIs" dxfId="54" priority="37" operator="lessThan">
      <formula>-0.0999</formula>
    </cfRule>
  </conditionalFormatting>
  <conditionalFormatting sqref="Q83">
    <cfRule type="containsErrors" dxfId="53" priority="36">
      <formula>ISERROR(Q83)</formula>
    </cfRule>
  </conditionalFormatting>
  <conditionalFormatting sqref="Q85">
    <cfRule type="cellIs" dxfId="52" priority="27" operator="equal">
      <formula>0</formula>
    </cfRule>
    <cfRule type="cellIs" dxfId="51" priority="30" operator="greaterThan">
      <formula>0.0999</formula>
    </cfRule>
  </conditionalFormatting>
  <conditionalFormatting sqref="Q85">
    <cfRule type="cellIs" dxfId="50" priority="29" operator="lessThan">
      <formula>-0.0999</formula>
    </cfRule>
  </conditionalFormatting>
  <conditionalFormatting sqref="Q85">
    <cfRule type="containsErrors" dxfId="49" priority="28">
      <formula>ISERROR(Q85)</formula>
    </cfRule>
  </conditionalFormatting>
  <conditionalFormatting sqref="Q47">
    <cfRule type="cellIs" dxfId="48" priority="19" operator="equal">
      <formula>0</formula>
    </cfRule>
    <cfRule type="cellIs" dxfId="47" priority="22" operator="greaterThan">
      <formula>0.0999</formula>
    </cfRule>
  </conditionalFormatting>
  <conditionalFormatting sqref="Q47">
    <cfRule type="cellIs" dxfId="46" priority="21" operator="lessThan">
      <formula>-0.0999</formula>
    </cfRule>
  </conditionalFormatting>
  <conditionalFormatting sqref="Q47">
    <cfRule type="containsErrors" dxfId="45" priority="20">
      <formula>ISERROR(Q47)</formula>
    </cfRule>
  </conditionalFormatting>
  <conditionalFormatting sqref="Q37">
    <cfRule type="cellIs" dxfId="44" priority="15" operator="equal">
      <formula>0</formula>
    </cfRule>
    <cfRule type="cellIs" dxfId="43" priority="18" operator="greaterThan">
      <formula>0.0999</formula>
    </cfRule>
  </conditionalFormatting>
  <conditionalFormatting sqref="Q37">
    <cfRule type="cellIs" dxfId="42" priority="17" operator="lessThan">
      <formula>-0.0999</formula>
    </cfRule>
  </conditionalFormatting>
  <conditionalFormatting sqref="Q37">
    <cfRule type="containsErrors" dxfId="41" priority="16">
      <formula>ISERROR(Q37)</formula>
    </cfRule>
  </conditionalFormatting>
  <conditionalFormatting sqref="A13:N13">
    <cfRule type="expression" dxfId="40" priority="8">
      <formula>$A$13="Note:              If account is converting Enter old number in cell N6, New account info enter in Column Q"</formula>
    </cfRule>
  </conditionalFormatting>
  <conditionalFormatting sqref="Q4">
    <cfRule type="expression" dxfId="39" priority="7">
      <formula>$P$4="WORKTAG"</formula>
    </cfRule>
  </conditionalFormatting>
  <conditionalFormatting sqref="Q6">
    <cfRule type="expression" dxfId="38" priority="6">
      <formula>$P$6="UNIT"</formula>
    </cfRule>
  </conditionalFormatting>
  <conditionalFormatting sqref="Q8">
    <cfRule type="expression" dxfId="37" priority="5">
      <formula>$P$8="CC"</formula>
    </cfRule>
  </conditionalFormatting>
  <conditionalFormatting sqref="Q10">
    <cfRule type="expression" dxfId="36" priority="4">
      <formula>$P$10="FUND"</formula>
    </cfRule>
  </conditionalFormatting>
  <conditionalFormatting sqref="Q12">
    <cfRule type="expression" dxfId="35" priority="3">
      <formula>$P$12="FUNCTION"</formula>
    </cfRule>
  </conditionalFormatting>
  <conditionalFormatting sqref="Q2">
    <cfRule type="expression" dxfId="34" priority="1">
      <formula>$P$2="ACCT NAME"</formula>
    </cfRule>
  </conditionalFormatting>
  <dataValidations xWindow="534" yWindow="285" count="16">
    <dataValidation allowBlank="1" showInputMessage="1" showErrorMessage="1" promptTitle="Object Code - Scholarships" prompt="Enter correct object code:_x000a_50 - Student Life_x000a_52 - ICA" sqref="B53"/>
    <dataValidation allowBlank="1" showInputMessage="1" showErrorMessage="1" promptTitle="79-ENDING BALANCE" prompt="This is a balancing field = Total Revenue less Total Expenses. _x000a__x000a_PRIOR YEAR ACTUAL ENDING BALANCE_x000a_The Prior Year's Ending Cash Balance becomes the Current Year's Beginning Cash Balancer." sqref="F59"/>
    <dataValidation allowBlank="1" showInputMessage="1" showErrorMessage="1" promptTitle="79-ENDING BALANCE" prompt="This is a balancing field = Total Revenue less Total Expenses. _x000a__x000a_For the Current Year, this is a projected amount.  " sqref="J59"/>
    <dataValidation allowBlank="1" showInputMessage="1" showErrorMessage="1" promptTitle="FORM-N2: Changes" prompt="Include an explantion on Form-N2 for any Changes &gt; 10% from the prior fiscal year.  Also include an explantion for any New or Eliminated budget categories." sqref="Q15:Q16"/>
    <dataValidation allowBlank="1" showInputMessage="1" showErrorMessage="1" promptTitle="Balance Forward-Budget" prompt="This is a budget calculation based on estimated ending balance at the end of the current year.  _x000a__x000a_Revenue Source - 4900: Balance Forward" sqref="N21"/>
    <dataValidation allowBlank="1" showInputMessage="1" showErrorMessage="1" promptTitle="Beginning Cash Balance - Actual:" prompt="Workday_x000a_Manager Balance Budgeted by Ledger_x000a_Manager Balance - Activity Summary by Worktag" sqref="J19 F19"/>
    <dataValidation allowBlank="1" showInputMessage="1" showErrorMessage="1" prompt="Protected cells will not accept data entry.  Using the &quot;tab&quot; key will move you to a cell that accepts data entry (color coded in Gray). _x000a__x000a_" sqref="A1:A2"/>
    <dataValidation allowBlank="1" showInputMessage="1" showErrorMessage="1" promptTitle="Account Title" prompt="Enter title exactly as set up in Workday" sqref="J10:N10"/>
    <dataValidation allowBlank="1" showInputMessage="1" showErrorMessage="1" promptTitle=" " sqref="J22"/>
    <dataValidation allowBlank="1" showInputMessage="1" showErrorMessage="1" promptTitle="Prior Year Actual Revenue:" prompt="Input Revenue totals by account ledger_x000a_From Workday_x000a_Manager Balance reports" sqref="F17"/>
    <dataValidation allowBlank="1" showInputMessage="1" showErrorMessage="1" promptTitle="Current Year Projected Revenue:" prompt="ADD Year-To-Date Revenue totals by category _x000a_from Workday, Manager Balance report_x000a__x000a_PLUS Projected Revenue activity by category for the remainder of the year." sqref="J17"/>
    <dataValidation allowBlank="1" showInputMessage="1" showErrorMessage="1" promptTitle="Budget for Next Year:" prompt="Estimate for next year's planned activity.  " sqref="N17 N32 N81"/>
    <dataValidation allowBlank="1" showInputMessage="1" showErrorMessage="1" promptTitle="FORM-N2: Changes" prompt="Include an explantion on Form-N2 for any Changes &gt; 10% from the prior fiscal year.  Also include an explantion for any New or Eliminated budget categories._x000a__x000a_Ignore #DIV/0! values if the amount is zero for all years." sqref="Q17"/>
    <dataValidation allowBlank="1" showInputMessage="1" showErrorMessage="1" promptTitle="Prior Year Actual Expense:" prompt="Input Expense totals by category _x000a_From Data Warehouse_x000a_Balance and Activity Report" sqref="F32"/>
    <dataValidation allowBlank="1" showInputMessage="1" showErrorMessage="1" promptTitle="Current Year Projected Expense:" prompt="ADD Year-To-Date Expense totals by category _x000a_from Data Warehouse, Balance and Activity Report_x000a__x000a_PLUS Projected Expense activity by category for the remainder of the year." sqref="J32"/>
    <dataValidation type="list" allowBlank="1" showInputMessage="1" showErrorMessage="1" sqref="D12:E12">
      <formula1>$AI$3:$AI$4</formula1>
    </dataValidation>
  </dataValidations>
  <printOptions horizontalCentered="1"/>
  <pageMargins left="0.5" right="0.25" top="0.25" bottom="0.25" header="0" footer="0"/>
  <pageSetup scale="65" orientation="portrait" r:id="rId2"/>
  <headerFooter alignWithMargins="0"/>
  <ignoredErrors>
    <ignoredError sqref="B49:B50 B34:B42 B52:B59 B44" numberStoredAsText="1"/>
  </ignoredErrors>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theme="0" tint="-0.249977111117893"/>
  </sheetPr>
  <dimension ref="A1:X392"/>
  <sheetViews>
    <sheetView workbookViewId="0">
      <pane xSplit="1" ySplit="9" topLeftCell="B10" activePane="bottomRight" state="frozen"/>
      <selection activeCell="N30" sqref="N30"/>
      <selection pane="topRight" activeCell="N30" sqref="N30"/>
      <selection pane="bottomLeft" activeCell="N30" sqref="N30"/>
      <selection pane="bottomRight" activeCell="A9" sqref="A9"/>
    </sheetView>
  </sheetViews>
  <sheetFormatPr defaultRowHeight="12.75" outlineLevelCol="1" x14ac:dyDescent="0.2"/>
  <cols>
    <col min="1" max="1" width="10.42578125" customWidth="1"/>
    <col min="2" max="2" width="11.28515625" style="476" bestFit="1" customWidth="1"/>
    <col min="3" max="3" width="11.140625" bestFit="1" customWidth="1"/>
    <col min="4" max="4" width="6.5703125" style="9" bestFit="1" customWidth="1"/>
    <col min="5" max="5" width="5.5703125" style="9" bestFit="1" customWidth="1"/>
    <col min="6" max="6" width="11.28515625" customWidth="1"/>
    <col min="7" max="7" width="9" bestFit="1" customWidth="1"/>
    <col min="8" max="8" width="10" bestFit="1" customWidth="1"/>
    <col min="9" max="9" width="10.140625" bestFit="1" customWidth="1"/>
    <col min="10" max="10" width="1.7109375" customWidth="1"/>
    <col min="11" max="11" width="43.28515625" bestFit="1" customWidth="1"/>
    <col min="12" max="12" width="8.28515625" customWidth="1"/>
    <col min="13" max="13" width="10.140625" style="142" bestFit="1" customWidth="1"/>
    <col min="14" max="14" width="10.5703125" bestFit="1" customWidth="1"/>
    <col min="15" max="15" width="8.7109375" bestFit="1" customWidth="1"/>
    <col min="16" max="16" width="15.7109375" customWidth="1"/>
    <col min="17" max="17" width="11.28515625" customWidth="1"/>
    <col min="18" max="18" width="6.5703125" hidden="1" customWidth="1" outlineLevel="1"/>
    <col min="19" max="19" width="6.7109375" hidden="1" customWidth="1" outlineLevel="1"/>
    <col min="20" max="20" width="12.5703125" style="476" hidden="1" customWidth="1" outlineLevel="1"/>
    <col min="21" max="21" width="10.140625" hidden="1" customWidth="1" outlineLevel="1"/>
    <col min="22" max="23" width="9.85546875" hidden="1" customWidth="1" outlineLevel="1"/>
    <col min="24" max="24" width="9.140625" collapsed="1"/>
  </cols>
  <sheetData>
    <row r="1" spans="1:24" x14ac:dyDescent="0.2">
      <c r="A1" s="538" t="s">
        <v>765</v>
      </c>
      <c r="L1" s="452" t="s">
        <v>758</v>
      </c>
      <c r="U1" s="336"/>
      <c r="X1" s="167" t="s">
        <v>756</v>
      </c>
    </row>
    <row r="2" spans="1:24" x14ac:dyDescent="0.2">
      <c r="A2" s="142" t="s">
        <v>508</v>
      </c>
      <c r="L2" s="452" t="s">
        <v>757</v>
      </c>
      <c r="U2" s="142"/>
    </row>
    <row r="3" spans="1:24" x14ac:dyDescent="0.2">
      <c r="A3" s="452" t="s">
        <v>759</v>
      </c>
      <c r="L3" s="612" t="s">
        <v>509</v>
      </c>
      <c r="M3" s="530"/>
      <c r="N3" s="531"/>
      <c r="O3" s="531"/>
      <c r="P3" s="531"/>
      <c r="U3" s="452"/>
      <c r="X3" s="167" t="s">
        <v>1113</v>
      </c>
    </row>
    <row r="4" spans="1:24" x14ac:dyDescent="0.2">
      <c r="A4" s="452" t="s">
        <v>711</v>
      </c>
      <c r="L4" s="336" t="s">
        <v>3239</v>
      </c>
      <c r="R4" s="167" t="s">
        <v>769</v>
      </c>
      <c r="U4" s="452"/>
      <c r="X4" s="835" t="s">
        <v>3236</v>
      </c>
    </row>
    <row r="5" spans="1:24" x14ac:dyDescent="0.2">
      <c r="A5" s="336" t="s">
        <v>760</v>
      </c>
      <c r="L5" s="142"/>
      <c r="M5" s="336" t="s">
        <v>763</v>
      </c>
      <c r="N5" s="167" t="s">
        <v>764</v>
      </c>
      <c r="R5" s="167" t="s">
        <v>767</v>
      </c>
      <c r="U5" s="142"/>
    </row>
    <row r="6" spans="1:24" x14ac:dyDescent="0.2">
      <c r="A6" s="336" t="s">
        <v>761</v>
      </c>
      <c r="L6" s="142"/>
      <c r="M6" s="336" t="s">
        <v>753</v>
      </c>
      <c r="N6" s="167" t="s">
        <v>755</v>
      </c>
      <c r="R6" s="533" t="s">
        <v>768</v>
      </c>
      <c r="U6" s="142"/>
    </row>
    <row r="7" spans="1:24" x14ac:dyDescent="0.2">
      <c r="A7" s="336" t="s">
        <v>762</v>
      </c>
      <c r="L7" s="142"/>
      <c r="M7" s="336" t="s">
        <v>754</v>
      </c>
      <c r="N7" s="167" t="s">
        <v>275</v>
      </c>
      <c r="U7" s="142"/>
    </row>
    <row r="8" spans="1:24" ht="25.5" x14ac:dyDescent="0.2">
      <c r="A8" s="19">
        <v>1</v>
      </c>
      <c r="B8" s="19">
        <v>2</v>
      </c>
      <c r="C8" s="19">
        <v>3</v>
      </c>
      <c r="D8" s="19">
        <v>4</v>
      </c>
      <c r="E8" s="19">
        <v>5</v>
      </c>
      <c r="F8" s="19">
        <v>6</v>
      </c>
      <c r="G8" s="19">
        <v>7</v>
      </c>
      <c r="H8" s="19">
        <v>8</v>
      </c>
      <c r="I8" s="19">
        <v>9</v>
      </c>
      <c r="M8" s="475" t="s">
        <v>1261</v>
      </c>
      <c r="N8" s="475" t="s">
        <v>3240</v>
      </c>
      <c r="O8" s="475" t="s">
        <v>3241</v>
      </c>
      <c r="P8" s="475" t="s">
        <v>3242</v>
      </c>
      <c r="Q8" s="475"/>
      <c r="R8" s="475" t="s">
        <v>766</v>
      </c>
      <c r="S8" s="475" t="s">
        <v>715</v>
      </c>
      <c r="T8" s="475" t="s">
        <v>728</v>
      </c>
      <c r="V8" s="475" t="s">
        <v>740</v>
      </c>
    </row>
    <row r="9" spans="1:24" x14ac:dyDescent="0.2">
      <c r="A9" t="s">
        <v>277</v>
      </c>
      <c r="B9" s="476" t="s">
        <v>278</v>
      </c>
      <c r="C9" t="s">
        <v>279</v>
      </c>
      <c r="D9" s="9" t="s">
        <v>280</v>
      </c>
      <c r="E9" s="9" t="s">
        <v>281</v>
      </c>
      <c r="F9" t="s">
        <v>282</v>
      </c>
      <c r="G9" t="s">
        <v>283</v>
      </c>
      <c r="H9" t="s">
        <v>284</v>
      </c>
      <c r="I9" t="s">
        <v>285</v>
      </c>
      <c r="L9" t="s">
        <v>277</v>
      </c>
      <c r="M9" s="450"/>
      <c r="N9" s="451">
        <v>0</v>
      </c>
      <c r="O9" s="451" t="s">
        <v>366</v>
      </c>
      <c r="P9" s="453">
        <v>2088</v>
      </c>
      <c r="Q9" s="453"/>
      <c r="R9" s="532">
        <v>0</v>
      </c>
      <c r="S9" s="319" t="s">
        <v>709</v>
      </c>
      <c r="T9" s="475">
        <v>2088</v>
      </c>
      <c r="U9" t="s">
        <v>277</v>
      </c>
      <c r="V9" s="449" t="s">
        <v>712</v>
      </c>
    </row>
    <row r="10" spans="1:24" x14ac:dyDescent="0.2">
      <c r="A10" s="336" t="s">
        <v>633</v>
      </c>
      <c r="B10" s="476">
        <v>0</v>
      </c>
      <c r="C10" s="328">
        <v>0</v>
      </c>
      <c r="D10" s="329">
        <v>0</v>
      </c>
      <c r="E10" s="329">
        <v>0</v>
      </c>
      <c r="F10" s="328">
        <v>0</v>
      </c>
      <c r="G10" s="328">
        <v>0</v>
      </c>
      <c r="H10" s="328">
        <v>0</v>
      </c>
      <c r="I10" s="328">
        <v>0</v>
      </c>
      <c r="J10" s="328"/>
      <c r="K10" s="167" t="s">
        <v>752</v>
      </c>
      <c r="L10" s="336" t="s">
        <v>633</v>
      </c>
      <c r="M10" s="330">
        <v>0</v>
      </c>
      <c r="N10" s="331"/>
      <c r="O10" s="331">
        <v>0</v>
      </c>
      <c r="P10" s="331">
        <v>0</v>
      </c>
      <c r="Q10" s="331"/>
      <c r="T10" s="331"/>
      <c r="U10" s="336" t="s">
        <v>633</v>
      </c>
      <c r="V10">
        <v>0</v>
      </c>
      <c r="W10">
        <v>0</v>
      </c>
      <c r="X10" s="1076"/>
    </row>
    <row r="11" spans="1:24" x14ac:dyDescent="0.2">
      <c r="A11" t="s">
        <v>21</v>
      </c>
      <c r="B11" s="612">
        <f t="shared" ref="B11:B20" si="0">P11</f>
        <v>26058.240000000002</v>
      </c>
      <c r="C11" s="612">
        <f t="shared" ref="C11:C20" si="1">B11/24</f>
        <v>1085.76</v>
      </c>
      <c r="D11" s="9" t="s">
        <v>22</v>
      </c>
      <c r="E11" s="10" t="s">
        <v>23</v>
      </c>
      <c r="F11" s="142">
        <f t="shared" ref="F11:F74" si="2">B11</f>
        <v>26058.240000000002</v>
      </c>
      <c r="G11" s="476">
        <f t="shared" ref="G11:G74" si="3">C11</f>
        <v>1085.76</v>
      </c>
      <c r="H11" s="476">
        <f t="shared" ref="H11:H19" si="4">F12</f>
        <v>27060.480000000003</v>
      </c>
      <c r="I11">
        <f t="shared" ref="I11:I19" si="5">G12</f>
        <v>1127.5200000000002</v>
      </c>
      <c r="K11" t="s">
        <v>499</v>
      </c>
      <c r="L11" t="s">
        <v>21</v>
      </c>
      <c r="M11" s="612">
        <v>12.48</v>
      </c>
      <c r="N11" s="476">
        <f>ROUND(+M11*$N$9,2)</f>
        <v>0</v>
      </c>
      <c r="O11" s="476">
        <f t="shared" ref="O11:O74" si="6">M11+N11</f>
        <v>12.48</v>
      </c>
      <c r="P11" s="142">
        <f t="shared" ref="P11:P74" si="7">O11*$P$9</f>
        <v>26058.240000000002</v>
      </c>
      <c r="Q11" s="476"/>
      <c r="R11" s="476">
        <f>ROUND(+M11*$R$9,2)</f>
        <v>0</v>
      </c>
      <c r="S11" s="476">
        <f t="shared" ref="S11:S74" si="8">O11+R11</f>
        <v>12.48</v>
      </c>
      <c r="T11" s="530">
        <f t="shared" ref="T11:T20" si="9">S11*$T$9</f>
        <v>26058.240000000002</v>
      </c>
      <c r="U11" s="167" t="s">
        <v>21</v>
      </c>
      <c r="V11" s="142">
        <f t="shared" ref="V11:V42" si="10">R11*2088</f>
        <v>0</v>
      </c>
      <c r="W11" s="142">
        <f t="shared" ref="W11:W74" si="11">T11-P11</f>
        <v>0</v>
      </c>
      <c r="X11" s="1076"/>
    </row>
    <row r="12" spans="1:24" x14ac:dyDescent="0.2">
      <c r="A12" t="s">
        <v>24</v>
      </c>
      <c r="B12" s="612">
        <f t="shared" si="0"/>
        <v>27060.480000000003</v>
      </c>
      <c r="C12" s="612">
        <f t="shared" si="1"/>
        <v>1127.5200000000002</v>
      </c>
      <c r="D12" s="9" t="s">
        <v>22</v>
      </c>
      <c r="E12" s="10">
        <v>2</v>
      </c>
      <c r="F12" s="476">
        <f t="shared" si="2"/>
        <v>27060.480000000003</v>
      </c>
      <c r="G12" s="476">
        <f t="shared" si="3"/>
        <v>1127.5200000000002</v>
      </c>
      <c r="H12">
        <f t="shared" si="4"/>
        <v>28020.959999999999</v>
      </c>
      <c r="I12">
        <f t="shared" si="5"/>
        <v>1167.54</v>
      </c>
      <c r="K12" t="s">
        <v>500</v>
      </c>
      <c r="L12" t="s">
        <v>24</v>
      </c>
      <c r="M12" s="612">
        <v>12.96</v>
      </c>
      <c r="N12" s="476">
        <f t="shared" ref="N12:N75" si="12">ROUND(+M12*$N$9,2)</f>
        <v>0</v>
      </c>
      <c r="O12" s="142">
        <f t="shared" si="6"/>
        <v>12.96</v>
      </c>
      <c r="P12" s="476">
        <f t="shared" si="7"/>
        <v>27060.480000000003</v>
      </c>
      <c r="Q12" s="476"/>
      <c r="R12" s="476">
        <f t="shared" ref="R12:R20" si="13">ROUND(+M12*$R$9,2)</f>
        <v>0</v>
      </c>
      <c r="S12" s="476">
        <f t="shared" si="8"/>
        <v>12.96</v>
      </c>
      <c r="T12" s="530">
        <f t="shared" si="9"/>
        <v>27060.480000000003</v>
      </c>
      <c r="U12" t="s">
        <v>24</v>
      </c>
      <c r="V12" s="142">
        <f t="shared" si="10"/>
        <v>0</v>
      </c>
      <c r="W12" s="142">
        <f t="shared" si="11"/>
        <v>0</v>
      </c>
      <c r="X12" s="1076"/>
    </row>
    <row r="13" spans="1:24" x14ac:dyDescent="0.2">
      <c r="A13" t="s">
        <v>25</v>
      </c>
      <c r="B13" s="612">
        <f t="shared" si="0"/>
        <v>28020.959999999999</v>
      </c>
      <c r="C13" s="612">
        <f t="shared" si="1"/>
        <v>1167.54</v>
      </c>
      <c r="D13" s="9" t="s">
        <v>22</v>
      </c>
      <c r="E13" s="10">
        <v>3</v>
      </c>
      <c r="F13" s="476">
        <f t="shared" si="2"/>
        <v>28020.959999999999</v>
      </c>
      <c r="G13" s="476">
        <f t="shared" si="3"/>
        <v>1167.54</v>
      </c>
      <c r="H13">
        <f t="shared" si="4"/>
        <v>29148.480000000003</v>
      </c>
      <c r="I13">
        <f t="shared" si="5"/>
        <v>1214.5200000000002</v>
      </c>
      <c r="K13" t="s">
        <v>501</v>
      </c>
      <c r="L13" t="s">
        <v>25</v>
      </c>
      <c r="M13" s="612">
        <v>13.42</v>
      </c>
      <c r="N13" s="476">
        <f t="shared" si="12"/>
        <v>0</v>
      </c>
      <c r="O13" s="142">
        <f t="shared" si="6"/>
        <v>13.42</v>
      </c>
      <c r="P13" s="476">
        <f t="shared" si="7"/>
        <v>28020.959999999999</v>
      </c>
      <c r="Q13" s="476"/>
      <c r="R13" s="476">
        <f t="shared" si="13"/>
        <v>0</v>
      </c>
      <c r="S13" s="476">
        <f t="shared" si="8"/>
        <v>13.42</v>
      </c>
      <c r="T13" s="530">
        <f t="shared" si="9"/>
        <v>28020.959999999999</v>
      </c>
      <c r="U13" t="s">
        <v>25</v>
      </c>
      <c r="V13" s="142">
        <f t="shared" si="10"/>
        <v>0</v>
      </c>
      <c r="W13" s="142">
        <f t="shared" si="11"/>
        <v>0</v>
      </c>
      <c r="X13" s="1076"/>
    </row>
    <row r="14" spans="1:24" x14ac:dyDescent="0.2">
      <c r="A14" t="s">
        <v>26</v>
      </c>
      <c r="B14" s="612">
        <f t="shared" si="0"/>
        <v>29148.480000000003</v>
      </c>
      <c r="C14" s="612">
        <f t="shared" si="1"/>
        <v>1214.5200000000002</v>
      </c>
      <c r="D14" s="9" t="s">
        <v>22</v>
      </c>
      <c r="E14" s="10">
        <v>4</v>
      </c>
      <c r="F14" s="476">
        <f t="shared" si="2"/>
        <v>29148.480000000003</v>
      </c>
      <c r="G14" s="476">
        <f t="shared" si="3"/>
        <v>1214.5200000000002</v>
      </c>
      <c r="H14">
        <f t="shared" si="4"/>
        <v>30213.360000000001</v>
      </c>
      <c r="I14">
        <f t="shared" si="5"/>
        <v>1258.8900000000001</v>
      </c>
      <c r="K14" t="s">
        <v>515</v>
      </c>
      <c r="L14" t="s">
        <v>26</v>
      </c>
      <c r="M14" s="612">
        <v>13.96</v>
      </c>
      <c r="N14" s="476">
        <f t="shared" si="12"/>
        <v>0</v>
      </c>
      <c r="O14" s="142">
        <f t="shared" si="6"/>
        <v>13.96</v>
      </c>
      <c r="P14" s="476">
        <f t="shared" si="7"/>
        <v>29148.480000000003</v>
      </c>
      <c r="Q14" s="476"/>
      <c r="R14" s="476">
        <f t="shared" si="13"/>
        <v>0</v>
      </c>
      <c r="S14" s="476">
        <f t="shared" si="8"/>
        <v>13.96</v>
      </c>
      <c r="T14" s="530">
        <f t="shared" si="9"/>
        <v>29148.480000000003</v>
      </c>
      <c r="U14" t="s">
        <v>26</v>
      </c>
      <c r="V14" s="142">
        <f t="shared" si="10"/>
        <v>0</v>
      </c>
      <c r="W14" s="142">
        <f t="shared" si="11"/>
        <v>0</v>
      </c>
      <c r="X14" s="1076"/>
    </row>
    <row r="15" spans="1:24" x14ac:dyDescent="0.2">
      <c r="A15" t="s">
        <v>27</v>
      </c>
      <c r="B15" s="612">
        <f t="shared" si="0"/>
        <v>30213.360000000001</v>
      </c>
      <c r="C15" s="612">
        <f t="shared" si="1"/>
        <v>1258.8900000000001</v>
      </c>
      <c r="D15" s="9" t="s">
        <v>22</v>
      </c>
      <c r="E15" s="10">
        <v>5</v>
      </c>
      <c r="F15" s="476">
        <f t="shared" si="2"/>
        <v>30213.360000000001</v>
      </c>
      <c r="G15" s="476">
        <f t="shared" si="3"/>
        <v>1258.8900000000001</v>
      </c>
      <c r="H15">
        <f t="shared" si="4"/>
        <v>31403.519999999997</v>
      </c>
      <c r="I15">
        <f t="shared" si="5"/>
        <v>1308.4799999999998</v>
      </c>
      <c r="K15" t="s">
        <v>502</v>
      </c>
      <c r="L15" t="s">
        <v>27</v>
      </c>
      <c r="M15" s="612">
        <v>14.47</v>
      </c>
      <c r="N15" s="476">
        <f t="shared" si="12"/>
        <v>0</v>
      </c>
      <c r="O15" s="142">
        <f t="shared" si="6"/>
        <v>14.47</v>
      </c>
      <c r="P15" s="476">
        <f t="shared" si="7"/>
        <v>30213.360000000001</v>
      </c>
      <c r="Q15" s="476"/>
      <c r="R15" s="476">
        <f t="shared" si="13"/>
        <v>0</v>
      </c>
      <c r="S15" s="476">
        <f t="shared" si="8"/>
        <v>14.47</v>
      </c>
      <c r="T15" s="530">
        <f t="shared" si="9"/>
        <v>30213.360000000001</v>
      </c>
      <c r="U15" t="s">
        <v>27</v>
      </c>
      <c r="V15" s="142">
        <f t="shared" si="10"/>
        <v>0</v>
      </c>
      <c r="W15" s="142">
        <f t="shared" si="11"/>
        <v>0</v>
      </c>
      <c r="X15" s="1076"/>
    </row>
    <row r="16" spans="1:24" x14ac:dyDescent="0.2">
      <c r="A16" t="s">
        <v>28</v>
      </c>
      <c r="B16" s="612">
        <f t="shared" si="0"/>
        <v>31403.519999999997</v>
      </c>
      <c r="C16" s="612">
        <f t="shared" si="1"/>
        <v>1308.4799999999998</v>
      </c>
      <c r="D16" s="9" t="s">
        <v>22</v>
      </c>
      <c r="E16" s="10">
        <v>6</v>
      </c>
      <c r="F16" s="476">
        <f t="shared" si="2"/>
        <v>31403.519999999997</v>
      </c>
      <c r="G16" s="476">
        <f t="shared" si="3"/>
        <v>1308.4799999999998</v>
      </c>
      <c r="H16">
        <f t="shared" si="4"/>
        <v>32718.959999999999</v>
      </c>
      <c r="I16">
        <f t="shared" si="5"/>
        <v>1363.29</v>
      </c>
      <c r="K16" t="s">
        <v>503</v>
      </c>
      <c r="L16" t="s">
        <v>28</v>
      </c>
      <c r="M16" s="612">
        <v>15.04</v>
      </c>
      <c r="N16" s="476">
        <f t="shared" si="12"/>
        <v>0</v>
      </c>
      <c r="O16" s="142">
        <f t="shared" si="6"/>
        <v>15.04</v>
      </c>
      <c r="P16" s="476">
        <f t="shared" si="7"/>
        <v>31403.519999999997</v>
      </c>
      <c r="Q16" s="476"/>
      <c r="R16" s="476">
        <f t="shared" si="13"/>
        <v>0</v>
      </c>
      <c r="S16" s="476">
        <f t="shared" si="8"/>
        <v>15.04</v>
      </c>
      <c r="T16" s="530">
        <f t="shared" si="9"/>
        <v>31403.519999999997</v>
      </c>
      <c r="U16" t="s">
        <v>28</v>
      </c>
      <c r="V16" s="142">
        <f t="shared" si="10"/>
        <v>0</v>
      </c>
      <c r="W16" s="142">
        <f t="shared" si="11"/>
        <v>0</v>
      </c>
      <c r="X16" s="1076"/>
    </row>
    <row r="17" spans="1:24" x14ac:dyDescent="0.2">
      <c r="A17" t="s">
        <v>29</v>
      </c>
      <c r="B17" s="612">
        <f t="shared" si="0"/>
        <v>32718.959999999999</v>
      </c>
      <c r="C17" s="612">
        <f t="shared" si="1"/>
        <v>1363.29</v>
      </c>
      <c r="D17" s="9" t="s">
        <v>22</v>
      </c>
      <c r="E17" s="10">
        <v>7</v>
      </c>
      <c r="F17" s="476">
        <f t="shared" si="2"/>
        <v>32718.959999999999</v>
      </c>
      <c r="G17" s="476">
        <f t="shared" si="3"/>
        <v>1363.29</v>
      </c>
      <c r="H17">
        <f t="shared" si="4"/>
        <v>33971.760000000002</v>
      </c>
      <c r="I17">
        <f t="shared" si="5"/>
        <v>1415.49</v>
      </c>
      <c r="K17" t="s">
        <v>504</v>
      </c>
      <c r="L17" t="s">
        <v>29</v>
      </c>
      <c r="M17" s="612">
        <v>15.67</v>
      </c>
      <c r="N17" s="476">
        <f t="shared" si="12"/>
        <v>0</v>
      </c>
      <c r="O17" s="142">
        <f t="shared" si="6"/>
        <v>15.67</v>
      </c>
      <c r="P17" s="476">
        <f t="shared" si="7"/>
        <v>32718.959999999999</v>
      </c>
      <c r="Q17" s="476"/>
      <c r="R17" s="476">
        <f t="shared" si="13"/>
        <v>0</v>
      </c>
      <c r="S17" s="476">
        <f t="shared" si="8"/>
        <v>15.67</v>
      </c>
      <c r="T17" s="530">
        <f t="shared" si="9"/>
        <v>32718.959999999999</v>
      </c>
      <c r="U17" t="s">
        <v>29</v>
      </c>
      <c r="V17" s="142">
        <f t="shared" si="10"/>
        <v>0</v>
      </c>
      <c r="W17" s="142">
        <f t="shared" si="11"/>
        <v>0</v>
      </c>
      <c r="X17" s="1076"/>
    </row>
    <row r="18" spans="1:24" x14ac:dyDescent="0.2">
      <c r="A18" t="s">
        <v>30</v>
      </c>
      <c r="B18" s="612">
        <f t="shared" si="0"/>
        <v>33971.760000000002</v>
      </c>
      <c r="C18" s="612">
        <f t="shared" si="1"/>
        <v>1415.49</v>
      </c>
      <c r="D18" s="9" t="s">
        <v>22</v>
      </c>
      <c r="E18" s="10">
        <v>8</v>
      </c>
      <c r="F18" s="476">
        <f t="shared" si="2"/>
        <v>33971.760000000002</v>
      </c>
      <c r="G18" s="476">
        <f t="shared" si="3"/>
        <v>1415.49</v>
      </c>
      <c r="H18">
        <f t="shared" si="4"/>
        <v>35328.960000000006</v>
      </c>
      <c r="I18">
        <f t="shared" si="5"/>
        <v>1472.0400000000002</v>
      </c>
      <c r="K18" t="s">
        <v>505</v>
      </c>
      <c r="L18" t="s">
        <v>30</v>
      </c>
      <c r="M18" s="612">
        <v>16.27</v>
      </c>
      <c r="N18" s="476">
        <f t="shared" si="12"/>
        <v>0</v>
      </c>
      <c r="O18" s="142">
        <f t="shared" si="6"/>
        <v>16.27</v>
      </c>
      <c r="P18" s="476">
        <f t="shared" si="7"/>
        <v>33971.760000000002</v>
      </c>
      <c r="Q18" s="476"/>
      <c r="R18" s="476">
        <f t="shared" si="13"/>
        <v>0</v>
      </c>
      <c r="S18" s="476">
        <f t="shared" si="8"/>
        <v>16.27</v>
      </c>
      <c r="T18" s="530">
        <f t="shared" si="9"/>
        <v>33971.760000000002</v>
      </c>
      <c r="U18" t="s">
        <v>30</v>
      </c>
      <c r="V18" s="142">
        <f t="shared" si="10"/>
        <v>0</v>
      </c>
      <c r="W18" s="142">
        <f t="shared" si="11"/>
        <v>0</v>
      </c>
      <c r="X18" s="1076"/>
    </row>
    <row r="19" spans="1:24" x14ac:dyDescent="0.2">
      <c r="A19" t="s">
        <v>250</v>
      </c>
      <c r="B19" s="612">
        <f t="shared" si="0"/>
        <v>35328.960000000006</v>
      </c>
      <c r="C19" s="612">
        <f t="shared" si="1"/>
        <v>1472.0400000000002</v>
      </c>
      <c r="D19" s="9" t="s">
        <v>22</v>
      </c>
      <c r="E19" s="10">
        <v>9</v>
      </c>
      <c r="F19" s="476">
        <f t="shared" si="2"/>
        <v>35328.960000000006</v>
      </c>
      <c r="G19" s="476">
        <f t="shared" si="3"/>
        <v>1472.0400000000002</v>
      </c>
      <c r="H19">
        <f t="shared" si="4"/>
        <v>36790.560000000005</v>
      </c>
      <c r="I19">
        <f t="shared" si="5"/>
        <v>1532.9400000000003</v>
      </c>
      <c r="K19" t="s">
        <v>506</v>
      </c>
      <c r="L19" t="s">
        <v>250</v>
      </c>
      <c r="M19" s="612">
        <v>16.920000000000002</v>
      </c>
      <c r="N19" s="476">
        <f t="shared" si="12"/>
        <v>0</v>
      </c>
      <c r="O19" s="142">
        <f t="shared" si="6"/>
        <v>16.920000000000002</v>
      </c>
      <c r="P19" s="476">
        <f t="shared" si="7"/>
        <v>35328.960000000006</v>
      </c>
      <c r="Q19" s="476"/>
      <c r="R19" s="476">
        <f t="shared" si="13"/>
        <v>0</v>
      </c>
      <c r="S19" s="476">
        <f t="shared" si="8"/>
        <v>16.920000000000002</v>
      </c>
      <c r="T19" s="530">
        <f t="shared" si="9"/>
        <v>35328.960000000006</v>
      </c>
      <c r="U19" t="s">
        <v>250</v>
      </c>
      <c r="V19" s="142">
        <f t="shared" si="10"/>
        <v>0</v>
      </c>
      <c r="W19" s="142">
        <f t="shared" si="11"/>
        <v>0</v>
      </c>
      <c r="X19" s="1076"/>
    </row>
    <row r="20" spans="1:24" x14ac:dyDescent="0.2">
      <c r="A20" t="s">
        <v>286</v>
      </c>
      <c r="B20" s="612">
        <f t="shared" si="0"/>
        <v>36790.560000000005</v>
      </c>
      <c r="C20" s="612">
        <f t="shared" si="1"/>
        <v>1532.9400000000003</v>
      </c>
      <c r="D20" s="9">
        <v>18</v>
      </c>
      <c r="E20" s="10">
        <v>10</v>
      </c>
      <c r="F20" s="476">
        <f t="shared" si="2"/>
        <v>36790.560000000005</v>
      </c>
      <c r="G20" s="476">
        <f t="shared" si="3"/>
        <v>1532.9400000000003</v>
      </c>
      <c r="H20">
        <f>F20</f>
        <v>36790.560000000005</v>
      </c>
      <c r="I20">
        <f>G20</f>
        <v>1532.9400000000003</v>
      </c>
      <c r="K20" t="s">
        <v>516</v>
      </c>
      <c r="L20" t="s">
        <v>286</v>
      </c>
      <c r="M20" s="612">
        <v>17.62</v>
      </c>
      <c r="N20" s="476">
        <f t="shared" si="12"/>
        <v>0</v>
      </c>
      <c r="O20" s="142">
        <f t="shared" si="6"/>
        <v>17.62</v>
      </c>
      <c r="P20" s="476">
        <f t="shared" si="7"/>
        <v>36790.560000000005</v>
      </c>
      <c r="Q20" s="476"/>
      <c r="R20" s="476">
        <f t="shared" si="13"/>
        <v>0</v>
      </c>
      <c r="S20" s="476">
        <f t="shared" si="8"/>
        <v>17.62</v>
      </c>
      <c r="T20" s="530">
        <f t="shared" si="9"/>
        <v>36790.560000000005</v>
      </c>
      <c r="U20" t="s">
        <v>286</v>
      </c>
      <c r="V20" s="142">
        <f t="shared" si="10"/>
        <v>0</v>
      </c>
      <c r="W20" s="142">
        <f t="shared" si="11"/>
        <v>0</v>
      </c>
      <c r="X20" s="1076"/>
    </row>
    <row r="21" spans="1:24" x14ac:dyDescent="0.2">
      <c r="A21" t="s">
        <v>31</v>
      </c>
      <c r="B21" s="476">
        <f t="shared" ref="B21:C29" si="14">B12</f>
        <v>27060.480000000003</v>
      </c>
      <c r="C21" s="476">
        <f t="shared" si="14"/>
        <v>1127.5200000000002</v>
      </c>
      <c r="D21" s="9" t="s">
        <v>32</v>
      </c>
      <c r="E21" s="10" t="s">
        <v>23</v>
      </c>
      <c r="F21" s="476">
        <f t="shared" si="2"/>
        <v>27060.480000000003</v>
      </c>
      <c r="G21" s="476">
        <f t="shared" si="3"/>
        <v>1127.5200000000002</v>
      </c>
      <c r="H21">
        <f t="shared" ref="H21:H29" si="15">F22</f>
        <v>28020.959999999999</v>
      </c>
      <c r="I21">
        <f t="shared" ref="I21:I29" si="16">G22</f>
        <v>1167.54</v>
      </c>
      <c r="K21" t="s">
        <v>507</v>
      </c>
      <c r="L21" t="s">
        <v>31</v>
      </c>
      <c r="M21" s="142">
        <f t="shared" ref="M21:M29" si="17">M12</f>
        <v>12.96</v>
      </c>
      <c r="N21" s="476">
        <f t="shared" si="12"/>
        <v>0</v>
      </c>
      <c r="O21" s="142">
        <f t="shared" si="6"/>
        <v>12.96</v>
      </c>
      <c r="P21" s="476">
        <f t="shared" si="7"/>
        <v>27060.480000000003</v>
      </c>
      <c r="Q21" s="476"/>
      <c r="R21" s="476">
        <f t="shared" ref="R21:R84" si="18">ROUND(+M21*$R$9,2)</f>
        <v>0</v>
      </c>
      <c r="S21" s="476">
        <f t="shared" si="8"/>
        <v>12.96</v>
      </c>
      <c r="T21" s="476">
        <f t="shared" ref="T21:T29" si="19">T12</f>
        <v>27060.480000000003</v>
      </c>
      <c r="U21" t="s">
        <v>31</v>
      </c>
      <c r="V21" s="142">
        <f t="shared" si="10"/>
        <v>0</v>
      </c>
      <c r="W21" s="142">
        <f t="shared" si="11"/>
        <v>0</v>
      </c>
      <c r="X21" s="1076"/>
    </row>
    <row r="22" spans="1:24" x14ac:dyDescent="0.2">
      <c r="A22" t="s">
        <v>33</v>
      </c>
      <c r="B22" s="476">
        <f t="shared" si="14"/>
        <v>28020.959999999999</v>
      </c>
      <c r="C22" s="476">
        <f t="shared" si="14"/>
        <v>1167.54</v>
      </c>
      <c r="D22" s="9" t="s">
        <v>32</v>
      </c>
      <c r="E22" s="10">
        <v>2</v>
      </c>
      <c r="F22" s="476">
        <f t="shared" si="2"/>
        <v>28020.959999999999</v>
      </c>
      <c r="G22" s="476">
        <f t="shared" si="3"/>
        <v>1167.54</v>
      </c>
      <c r="H22">
        <f t="shared" si="15"/>
        <v>29148.480000000003</v>
      </c>
      <c r="I22">
        <f t="shared" si="16"/>
        <v>1214.5200000000002</v>
      </c>
      <c r="L22" t="s">
        <v>33</v>
      </c>
      <c r="M22" s="142">
        <f t="shared" si="17"/>
        <v>13.42</v>
      </c>
      <c r="N22" s="476">
        <f t="shared" si="12"/>
        <v>0</v>
      </c>
      <c r="O22" s="142">
        <f t="shared" si="6"/>
        <v>13.42</v>
      </c>
      <c r="P22" s="476">
        <f t="shared" si="7"/>
        <v>28020.959999999999</v>
      </c>
      <c r="Q22" s="476"/>
      <c r="R22" s="476">
        <f t="shared" si="18"/>
        <v>0</v>
      </c>
      <c r="S22" s="476">
        <f t="shared" si="8"/>
        <v>13.42</v>
      </c>
      <c r="T22" s="476">
        <f t="shared" si="19"/>
        <v>28020.959999999999</v>
      </c>
      <c r="U22" t="s">
        <v>33</v>
      </c>
      <c r="V22" s="142">
        <f t="shared" si="10"/>
        <v>0</v>
      </c>
      <c r="W22" s="142">
        <f t="shared" si="11"/>
        <v>0</v>
      </c>
      <c r="X22" s="1076"/>
    </row>
    <row r="23" spans="1:24" x14ac:dyDescent="0.2">
      <c r="A23" t="s">
        <v>34</v>
      </c>
      <c r="B23" s="476">
        <f t="shared" si="14"/>
        <v>29148.480000000003</v>
      </c>
      <c r="C23" s="476">
        <f t="shared" si="14"/>
        <v>1214.5200000000002</v>
      </c>
      <c r="D23" s="9" t="s">
        <v>32</v>
      </c>
      <c r="E23" s="10">
        <v>3</v>
      </c>
      <c r="F23" s="476">
        <f t="shared" si="2"/>
        <v>29148.480000000003</v>
      </c>
      <c r="G23" s="476">
        <f t="shared" si="3"/>
        <v>1214.5200000000002</v>
      </c>
      <c r="H23">
        <f t="shared" si="15"/>
        <v>30213.360000000001</v>
      </c>
      <c r="I23">
        <f t="shared" si="16"/>
        <v>1258.8900000000001</v>
      </c>
      <c r="L23" t="s">
        <v>34</v>
      </c>
      <c r="M23" s="142">
        <f t="shared" si="17"/>
        <v>13.96</v>
      </c>
      <c r="N23" s="476">
        <f t="shared" si="12"/>
        <v>0</v>
      </c>
      <c r="O23" s="142">
        <f t="shared" si="6"/>
        <v>13.96</v>
      </c>
      <c r="P23" s="476">
        <f t="shared" si="7"/>
        <v>29148.480000000003</v>
      </c>
      <c r="Q23" s="476"/>
      <c r="R23" s="476">
        <f t="shared" si="18"/>
        <v>0</v>
      </c>
      <c r="S23" s="476">
        <f t="shared" si="8"/>
        <v>13.96</v>
      </c>
      <c r="T23" s="476">
        <f t="shared" si="19"/>
        <v>29148.480000000003</v>
      </c>
      <c r="U23" t="s">
        <v>34</v>
      </c>
      <c r="V23" s="142">
        <f t="shared" si="10"/>
        <v>0</v>
      </c>
      <c r="W23" s="142">
        <f t="shared" si="11"/>
        <v>0</v>
      </c>
      <c r="X23" s="1076"/>
    </row>
    <row r="24" spans="1:24" x14ac:dyDescent="0.2">
      <c r="A24" t="s">
        <v>35</v>
      </c>
      <c r="B24" s="476">
        <f t="shared" si="14"/>
        <v>30213.360000000001</v>
      </c>
      <c r="C24" s="476">
        <f t="shared" si="14"/>
        <v>1258.8900000000001</v>
      </c>
      <c r="D24" s="9" t="s">
        <v>32</v>
      </c>
      <c r="E24" s="10">
        <v>4</v>
      </c>
      <c r="F24" s="476">
        <f t="shared" si="2"/>
        <v>30213.360000000001</v>
      </c>
      <c r="G24" s="476">
        <f t="shared" si="3"/>
        <v>1258.8900000000001</v>
      </c>
      <c r="H24">
        <f t="shared" si="15"/>
        <v>31403.519999999997</v>
      </c>
      <c r="I24">
        <f t="shared" si="16"/>
        <v>1308.4799999999998</v>
      </c>
      <c r="L24" t="s">
        <v>35</v>
      </c>
      <c r="M24" s="142">
        <f t="shared" si="17"/>
        <v>14.47</v>
      </c>
      <c r="N24" s="476">
        <f t="shared" si="12"/>
        <v>0</v>
      </c>
      <c r="O24" s="142">
        <f t="shared" si="6"/>
        <v>14.47</v>
      </c>
      <c r="P24" s="476">
        <f t="shared" si="7"/>
        <v>30213.360000000001</v>
      </c>
      <c r="Q24" s="476"/>
      <c r="R24" s="476">
        <f t="shared" si="18"/>
        <v>0</v>
      </c>
      <c r="S24" s="476">
        <f t="shared" si="8"/>
        <v>14.47</v>
      </c>
      <c r="T24" s="476">
        <f t="shared" si="19"/>
        <v>30213.360000000001</v>
      </c>
      <c r="U24" t="s">
        <v>35</v>
      </c>
      <c r="V24" s="142">
        <f t="shared" si="10"/>
        <v>0</v>
      </c>
      <c r="W24" s="142">
        <f t="shared" si="11"/>
        <v>0</v>
      </c>
      <c r="X24" s="1076"/>
    </row>
    <row r="25" spans="1:24" x14ac:dyDescent="0.2">
      <c r="A25" t="s">
        <v>36</v>
      </c>
      <c r="B25" s="476">
        <f t="shared" si="14"/>
        <v>31403.519999999997</v>
      </c>
      <c r="C25" s="476">
        <f t="shared" si="14"/>
        <v>1308.4799999999998</v>
      </c>
      <c r="D25" s="9" t="s">
        <v>32</v>
      </c>
      <c r="E25" s="10">
        <v>5</v>
      </c>
      <c r="F25" s="476">
        <f t="shared" si="2"/>
        <v>31403.519999999997</v>
      </c>
      <c r="G25" s="476">
        <f t="shared" si="3"/>
        <v>1308.4799999999998</v>
      </c>
      <c r="H25">
        <f t="shared" si="15"/>
        <v>32718.959999999999</v>
      </c>
      <c r="I25">
        <f t="shared" si="16"/>
        <v>1363.29</v>
      </c>
      <c r="L25" t="s">
        <v>36</v>
      </c>
      <c r="M25" s="142">
        <f t="shared" si="17"/>
        <v>15.04</v>
      </c>
      <c r="N25" s="476">
        <f t="shared" si="12"/>
        <v>0</v>
      </c>
      <c r="O25" s="142">
        <f t="shared" si="6"/>
        <v>15.04</v>
      </c>
      <c r="P25" s="476">
        <f t="shared" si="7"/>
        <v>31403.519999999997</v>
      </c>
      <c r="Q25" s="476"/>
      <c r="R25" s="476">
        <f t="shared" si="18"/>
        <v>0</v>
      </c>
      <c r="S25" s="476">
        <f t="shared" si="8"/>
        <v>15.04</v>
      </c>
      <c r="T25" s="476">
        <f t="shared" si="19"/>
        <v>31403.519999999997</v>
      </c>
      <c r="U25" t="s">
        <v>36</v>
      </c>
      <c r="V25" s="142">
        <f t="shared" si="10"/>
        <v>0</v>
      </c>
      <c r="W25" s="142">
        <f t="shared" si="11"/>
        <v>0</v>
      </c>
      <c r="X25" s="1076"/>
    </row>
    <row r="26" spans="1:24" x14ac:dyDescent="0.2">
      <c r="A26" t="s">
        <v>37</v>
      </c>
      <c r="B26" s="476">
        <f t="shared" si="14"/>
        <v>32718.959999999999</v>
      </c>
      <c r="C26" s="476">
        <f t="shared" si="14"/>
        <v>1363.29</v>
      </c>
      <c r="D26" s="9" t="s">
        <v>32</v>
      </c>
      <c r="E26" s="10">
        <v>6</v>
      </c>
      <c r="F26" s="476">
        <f t="shared" si="2"/>
        <v>32718.959999999999</v>
      </c>
      <c r="G26" s="476">
        <f t="shared" si="3"/>
        <v>1363.29</v>
      </c>
      <c r="H26">
        <f t="shared" si="15"/>
        <v>33971.760000000002</v>
      </c>
      <c r="I26">
        <f t="shared" si="16"/>
        <v>1415.49</v>
      </c>
      <c r="L26" t="s">
        <v>37</v>
      </c>
      <c r="M26" s="142">
        <f t="shared" si="17"/>
        <v>15.67</v>
      </c>
      <c r="N26" s="476">
        <f t="shared" si="12"/>
        <v>0</v>
      </c>
      <c r="O26" s="142">
        <f t="shared" si="6"/>
        <v>15.67</v>
      </c>
      <c r="P26" s="476">
        <f t="shared" si="7"/>
        <v>32718.959999999999</v>
      </c>
      <c r="Q26" s="476"/>
      <c r="R26" s="476">
        <f t="shared" si="18"/>
        <v>0</v>
      </c>
      <c r="S26" s="476">
        <f t="shared" si="8"/>
        <v>15.67</v>
      </c>
      <c r="T26" s="476">
        <f t="shared" si="19"/>
        <v>32718.959999999999</v>
      </c>
      <c r="U26" t="s">
        <v>37</v>
      </c>
      <c r="V26" s="142">
        <f t="shared" si="10"/>
        <v>0</v>
      </c>
      <c r="W26" s="142">
        <f t="shared" si="11"/>
        <v>0</v>
      </c>
      <c r="X26" s="1076"/>
    </row>
    <row r="27" spans="1:24" x14ac:dyDescent="0.2">
      <c r="A27" t="s">
        <v>38</v>
      </c>
      <c r="B27" s="476">
        <f t="shared" si="14"/>
        <v>33971.760000000002</v>
      </c>
      <c r="C27" s="476">
        <f t="shared" si="14"/>
        <v>1415.49</v>
      </c>
      <c r="D27" s="9" t="s">
        <v>32</v>
      </c>
      <c r="E27" s="10">
        <v>7</v>
      </c>
      <c r="F27" s="476">
        <f t="shared" si="2"/>
        <v>33971.760000000002</v>
      </c>
      <c r="G27" s="476">
        <f t="shared" si="3"/>
        <v>1415.49</v>
      </c>
      <c r="H27">
        <f t="shared" si="15"/>
        <v>35328.960000000006</v>
      </c>
      <c r="I27">
        <f t="shared" si="16"/>
        <v>1472.0400000000002</v>
      </c>
      <c r="L27" t="s">
        <v>38</v>
      </c>
      <c r="M27" s="142">
        <f t="shared" si="17"/>
        <v>16.27</v>
      </c>
      <c r="N27" s="476">
        <f t="shared" si="12"/>
        <v>0</v>
      </c>
      <c r="O27" s="142">
        <f t="shared" si="6"/>
        <v>16.27</v>
      </c>
      <c r="P27" s="476">
        <f t="shared" si="7"/>
        <v>33971.760000000002</v>
      </c>
      <c r="Q27" s="476"/>
      <c r="R27" s="476">
        <f t="shared" si="18"/>
        <v>0</v>
      </c>
      <c r="S27" s="476">
        <f t="shared" si="8"/>
        <v>16.27</v>
      </c>
      <c r="T27" s="476">
        <f t="shared" si="19"/>
        <v>33971.760000000002</v>
      </c>
      <c r="U27" t="s">
        <v>38</v>
      </c>
      <c r="V27" s="142">
        <f t="shared" si="10"/>
        <v>0</v>
      </c>
      <c r="W27" s="142">
        <f t="shared" si="11"/>
        <v>0</v>
      </c>
      <c r="X27" s="1076"/>
    </row>
    <row r="28" spans="1:24" x14ac:dyDescent="0.2">
      <c r="A28" t="s">
        <v>39</v>
      </c>
      <c r="B28" s="476">
        <f t="shared" si="14"/>
        <v>35328.960000000006</v>
      </c>
      <c r="C28" s="476">
        <f t="shared" si="14"/>
        <v>1472.0400000000002</v>
      </c>
      <c r="D28" s="9" t="s">
        <v>32</v>
      </c>
      <c r="E28" s="10">
        <v>8</v>
      </c>
      <c r="F28" s="476">
        <f t="shared" si="2"/>
        <v>35328.960000000006</v>
      </c>
      <c r="G28" s="476">
        <f t="shared" si="3"/>
        <v>1472.0400000000002</v>
      </c>
      <c r="H28">
        <f t="shared" si="15"/>
        <v>36790.560000000005</v>
      </c>
      <c r="I28">
        <f t="shared" si="16"/>
        <v>1532.9400000000003</v>
      </c>
      <c r="L28" t="s">
        <v>39</v>
      </c>
      <c r="M28" s="142">
        <f t="shared" si="17"/>
        <v>16.920000000000002</v>
      </c>
      <c r="N28" s="476">
        <f t="shared" si="12"/>
        <v>0</v>
      </c>
      <c r="O28" s="142">
        <f t="shared" si="6"/>
        <v>16.920000000000002</v>
      </c>
      <c r="P28" s="476">
        <f t="shared" si="7"/>
        <v>35328.960000000006</v>
      </c>
      <c r="Q28" s="476"/>
      <c r="R28" s="476">
        <f t="shared" si="18"/>
        <v>0</v>
      </c>
      <c r="S28" s="476">
        <f t="shared" si="8"/>
        <v>16.920000000000002</v>
      </c>
      <c r="T28" s="476">
        <f t="shared" si="19"/>
        <v>35328.960000000006</v>
      </c>
      <c r="U28" t="s">
        <v>39</v>
      </c>
      <c r="V28" s="142">
        <f t="shared" si="10"/>
        <v>0</v>
      </c>
      <c r="W28" s="142">
        <f t="shared" si="11"/>
        <v>0</v>
      </c>
      <c r="X28" s="1076"/>
    </row>
    <row r="29" spans="1:24" x14ac:dyDescent="0.2">
      <c r="A29" t="s">
        <v>251</v>
      </c>
      <c r="B29" s="478">
        <f t="shared" si="14"/>
        <v>36790.560000000005</v>
      </c>
      <c r="C29" s="478">
        <f t="shared" si="14"/>
        <v>1532.9400000000003</v>
      </c>
      <c r="D29" s="9">
        <v>19</v>
      </c>
      <c r="E29" s="10">
        <v>9</v>
      </c>
      <c r="F29" s="476">
        <f t="shared" si="2"/>
        <v>36790.560000000005</v>
      </c>
      <c r="G29" s="476">
        <f t="shared" si="3"/>
        <v>1532.9400000000003</v>
      </c>
      <c r="H29">
        <f t="shared" si="15"/>
        <v>38314.800000000003</v>
      </c>
      <c r="I29">
        <f t="shared" si="16"/>
        <v>1596.45</v>
      </c>
      <c r="L29" t="s">
        <v>251</v>
      </c>
      <c r="M29" s="143">
        <f t="shared" si="17"/>
        <v>17.62</v>
      </c>
      <c r="N29" s="476">
        <f t="shared" si="12"/>
        <v>0</v>
      </c>
      <c r="O29" s="142">
        <f t="shared" si="6"/>
        <v>17.62</v>
      </c>
      <c r="P29" s="476">
        <f t="shared" si="7"/>
        <v>36790.560000000005</v>
      </c>
      <c r="Q29" s="476"/>
      <c r="R29" s="476">
        <f t="shared" si="18"/>
        <v>0</v>
      </c>
      <c r="S29" s="476">
        <f t="shared" si="8"/>
        <v>17.62</v>
      </c>
      <c r="T29" s="476">
        <f t="shared" si="19"/>
        <v>36790.560000000005</v>
      </c>
      <c r="U29" t="s">
        <v>251</v>
      </c>
      <c r="V29" s="142">
        <f t="shared" si="10"/>
        <v>0</v>
      </c>
      <c r="W29" s="142">
        <f t="shared" si="11"/>
        <v>0</v>
      </c>
      <c r="X29" s="1076"/>
    </row>
    <row r="30" spans="1:24" x14ac:dyDescent="0.2">
      <c r="A30" t="s">
        <v>287</v>
      </c>
      <c r="B30" s="612">
        <f>P30</f>
        <v>38314.800000000003</v>
      </c>
      <c r="C30" s="612">
        <f>B30/24</f>
        <v>1596.45</v>
      </c>
      <c r="D30" s="9">
        <v>19</v>
      </c>
      <c r="E30" s="10">
        <v>10</v>
      </c>
      <c r="F30" s="476">
        <f t="shared" si="2"/>
        <v>38314.800000000003</v>
      </c>
      <c r="G30" s="476">
        <f t="shared" si="3"/>
        <v>1596.45</v>
      </c>
      <c r="H30">
        <f>F30</f>
        <v>38314.800000000003</v>
      </c>
      <c r="I30">
        <f>G30</f>
        <v>1596.45</v>
      </c>
      <c r="K30" s="476"/>
      <c r="L30" t="s">
        <v>287</v>
      </c>
      <c r="M30" s="612">
        <v>18.350000000000001</v>
      </c>
      <c r="N30" s="476">
        <f t="shared" si="12"/>
        <v>0</v>
      </c>
      <c r="O30" s="142">
        <f t="shared" si="6"/>
        <v>18.350000000000001</v>
      </c>
      <c r="P30" s="476">
        <f t="shared" si="7"/>
        <v>38314.800000000003</v>
      </c>
      <c r="Q30" s="476"/>
      <c r="R30" s="476">
        <f t="shared" si="18"/>
        <v>0</v>
      </c>
      <c r="S30" s="476">
        <f t="shared" si="8"/>
        <v>18.350000000000001</v>
      </c>
      <c r="T30" s="530">
        <f>S30*$T$9</f>
        <v>38314.800000000003</v>
      </c>
      <c r="U30" t="s">
        <v>287</v>
      </c>
      <c r="V30" s="142">
        <f t="shared" si="10"/>
        <v>0</v>
      </c>
      <c r="W30" s="142">
        <f t="shared" si="11"/>
        <v>0</v>
      </c>
      <c r="X30" s="1076"/>
    </row>
    <row r="31" spans="1:24" x14ac:dyDescent="0.2">
      <c r="A31" t="s">
        <v>40</v>
      </c>
      <c r="B31" s="476">
        <f t="shared" ref="B31:C39" si="20">B22</f>
        <v>28020.959999999999</v>
      </c>
      <c r="C31" s="476">
        <f t="shared" si="20"/>
        <v>1167.54</v>
      </c>
      <c r="D31" s="9" t="s">
        <v>41</v>
      </c>
      <c r="E31" s="10" t="s">
        <v>23</v>
      </c>
      <c r="F31" s="476">
        <f t="shared" si="2"/>
        <v>28020.959999999999</v>
      </c>
      <c r="G31" s="476">
        <f t="shared" si="3"/>
        <v>1167.54</v>
      </c>
      <c r="H31">
        <f t="shared" ref="H31:H39" si="21">F32</f>
        <v>29148.480000000003</v>
      </c>
      <c r="I31">
        <f t="shared" ref="I31:I39" si="22">G32</f>
        <v>1214.5200000000002</v>
      </c>
      <c r="L31" t="s">
        <v>40</v>
      </c>
      <c r="M31" s="142">
        <f t="shared" ref="M31:M39" si="23">M22</f>
        <v>13.42</v>
      </c>
      <c r="N31" s="476">
        <f t="shared" si="12"/>
        <v>0</v>
      </c>
      <c r="O31" s="142">
        <f t="shared" si="6"/>
        <v>13.42</v>
      </c>
      <c r="P31" s="476">
        <f t="shared" si="7"/>
        <v>28020.959999999999</v>
      </c>
      <c r="Q31" s="476"/>
      <c r="R31" s="476">
        <f t="shared" si="18"/>
        <v>0</v>
      </c>
      <c r="S31" s="476">
        <f t="shared" si="8"/>
        <v>13.42</v>
      </c>
      <c r="T31" s="476">
        <f t="shared" ref="T31:T39" si="24">T22</f>
        <v>28020.959999999999</v>
      </c>
      <c r="U31" t="s">
        <v>40</v>
      </c>
      <c r="V31" s="142">
        <f t="shared" si="10"/>
        <v>0</v>
      </c>
      <c r="W31" s="142">
        <f t="shared" si="11"/>
        <v>0</v>
      </c>
      <c r="X31" s="1076"/>
    </row>
    <row r="32" spans="1:24" x14ac:dyDescent="0.2">
      <c r="A32" t="s">
        <v>42</v>
      </c>
      <c r="B32" s="476">
        <f t="shared" si="20"/>
        <v>29148.480000000003</v>
      </c>
      <c r="C32" s="476">
        <f t="shared" si="20"/>
        <v>1214.5200000000002</v>
      </c>
      <c r="D32" s="9" t="s">
        <v>41</v>
      </c>
      <c r="E32" s="10">
        <v>2</v>
      </c>
      <c r="F32" s="476">
        <f t="shared" si="2"/>
        <v>29148.480000000003</v>
      </c>
      <c r="G32" s="476">
        <f t="shared" si="3"/>
        <v>1214.5200000000002</v>
      </c>
      <c r="H32">
        <f t="shared" si="21"/>
        <v>30213.360000000001</v>
      </c>
      <c r="I32">
        <f t="shared" si="22"/>
        <v>1258.8900000000001</v>
      </c>
      <c r="L32" t="s">
        <v>42</v>
      </c>
      <c r="M32" s="142">
        <f t="shared" si="23"/>
        <v>13.96</v>
      </c>
      <c r="N32" s="476">
        <f t="shared" si="12"/>
        <v>0</v>
      </c>
      <c r="O32" s="142">
        <f t="shared" si="6"/>
        <v>13.96</v>
      </c>
      <c r="P32" s="476">
        <f t="shared" si="7"/>
        <v>29148.480000000003</v>
      </c>
      <c r="Q32" s="476"/>
      <c r="R32" s="476">
        <f t="shared" si="18"/>
        <v>0</v>
      </c>
      <c r="S32" s="476">
        <f t="shared" si="8"/>
        <v>13.96</v>
      </c>
      <c r="T32" s="476">
        <f t="shared" si="24"/>
        <v>29148.480000000003</v>
      </c>
      <c r="U32" t="s">
        <v>42</v>
      </c>
      <c r="V32" s="142">
        <f t="shared" si="10"/>
        <v>0</v>
      </c>
      <c r="W32" s="142">
        <f t="shared" si="11"/>
        <v>0</v>
      </c>
      <c r="X32" s="1076"/>
    </row>
    <row r="33" spans="1:24" x14ac:dyDescent="0.2">
      <c r="A33" t="s">
        <v>43</v>
      </c>
      <c r="B33" s="476">
        <f t="shared" si="20"/>
        <v>30213.360000000001</v>
      </c>
      <c r="C33" s="476">
        <f t="shared" si="20"/>
        <v>1258.8900000000001</v>
      </c>
      <c r="D33" s="9" t="s">
        <v>41</v>
      </c>
      <c r="E33" s="10">
        <v>3</v>
      </c>
      <c r="F33" s="476">
        <f t="shared" si="2"/>
        <v>30213.360000000001</v>
      </c>
      <c r="G33" s="476">
        <f t="shared" si="3"/>
        <v>1258.8900000000001</v>
      </c>
      <c r="H33">
        <f t="shared" si="21"/>
        <v>31403.519999999997</v>
      </c>
      <c r="I33">
        <f t="shared" si="22"/>
        <v>1308.4799999999998</v>
      </c>
      <c r="L33" t="s">
        <v>43</v>
      </c>
      <c r="M33" s="142">
        <f t="shared" si="23"/>
        <v>14.47</v>
      </c>
      <c r="N33" s="476">
        <f t="shared" si="12"/>
        <v>0</v>
      </c>
      <c r="O33" s="142">
        <f t="shared" si="6"/>
        <v>14.47</v>
      </c>
      <c r="P33" s="476">
        <f t="shared" si="7"/>
        <v>30213.360000000001</v>
      </c>
      <c r="Q33" s="476"/>
      <c r="R33" s="476">
        <f t="shared" si="18"/>
        <v>0</v>
      </c>
      <c r="S33" s="476">
        <f t="shared" si="8"/>
        <v>14.47</v>
      </c>
      <c r="T33" s="476">
        <f t="shared" si="24"/>
        <v>30213.360000000001</v>
      </c>
      <c r="U33" t="s">
        <v>43</v>
      </c>
      <c r="V33" s="142">
        <f t="shared" si="10"/>
        <v>0</v>
      </c>
      <c r="W33" s="142">
        <f t="shared" si="11"/>
        <v>0</v>
      </c>
      <c r="X33" s="1076"/>
    </row>
    <row r="34" spans="1:24" x14ac:dyDescent="0.2">
      <c r="A34" t="s">
        <v>44</v>
      </c>
      <c r="B34" s="476">
        <f t="shared" si="20"/>
        <v>31403.519999999997</v>
      </c>
      <c r="C34" s="476">
        <f t="shared" si="20"/>
        <v>1308.4799999999998</v>
      </c>
      <c r="D34" s="9" t="s">
        <v>41</v>
      </c>
      <c r="E34" s="10">
        <v>4</v>
      </c>
      <c r="F34" s="476">
        <f t="shared" si="2"/>
        <v>31403.519999999997</v>
      </c>
      <c r="G34" s="476">
        <f t="shared" si="3"/>
        <v>1308.4799999999998</v>
      </c>
      <c r="H34">
        <f t="shared" si="21"/>
        <v>32718.959999999999</v>
      </c>
      <c r="I34">
        <f t="shared" si="22"/>
        <v>1363.29</v>
      </c>
      <c r="L34" t="s">
        <v>44</v>
      </c>
      <c r="M34" s="142">
        <f t="shared" si="23"/>
        <v>15.04</v>
      </c>
      <c r="N34" s="476">
        <f t="shared" si="12"/>
        <v>0</v>
      </c>
      <c r="O34" s="142">
        <f t="shared" si="6"/>
        <v>15.04</v>
      </c>
      <c r="P34" s="476">
        <f t="shared" si="7"/>
        <v>31403.519999999997</v>
      </c>
      <c r="Q34" s="476"/>
      <c r="R34" s="476">
        <f t="shared" si="18"/>
        <v>0</v>
      </c>
      <c r="S34" s="476">
        <f t="shared" si="8"/>
        <v>15.04</v>
      </c>
      <c r="T34" s="476">
        <f t="shared" si="24"/>
        <v>31403.519999999997</v>
      </c>
      <c r="U34" t="s">
        <v>44</v>
      </c>
      <c r="V34" s="142">
        <f t="shared" si="10"/>
        <v>0</v>
      </c>
      <c r="W34" s="142">
        <f t="shared" si="11"/>
        <v>0</v>
      </c>
      <c r="X34" s="1076"/>
    </row>
    <row r="35" spans="1:24" x14ac:dyDescent="0.2">
      <c r="A35" t="s">
        <v>45</v>
      </c>
      <c r="B35" s="476">
        <f t="shared" si="20"/>
        <v>32718.959999999999</v>
      </c>
      <c r="C35" s="476">
        <f t="shared" si="20"/>
        <v>1363.29</v>
      </c>
      <c r="D35" s="9" t="s">
        <v>41</v>
      </c>
      <c r="E35" s="10">
        <v>5</v>
      </c>
      <c r="F35" s="476">
        <f t="shared" si="2"/>
        <v>32718.959999999999</v>
      </c>
      <c r="G35" s="476">
        <f t="shared" si="3"/>
        <v>1363.29</v>
      </c>
      <c r="H35">
        <f t="shared" si="21"/>
        <v>33971.760000000002</v>
      </c>
      <c r="I35">
        <f t="shared" si="22"/>
        <v>1415.49</v>
      </c>
      <c r="L35" t="s">
        <v>45</v>
      </c>
      <c r="M35" s="142">
        <f t="shared" si="23"/>
        <v>15.67</v>
      </c>
      <c r="N35" s="476">
        <f t="shared" si="12"/>
        <v>0</v>
      </c>
      <c r="O35" s="142">
        <f t="shared" si="6"/>
        <v>15.67</v>
      </c>
      <c r="P35" s="476">
        <f t="shared" si="7"/>
        <v>32718.959999999999</v>
      </c>
      <c r="Q35" s="476"/>
      <c r="R35" s="476">
        <f t="shared" si="18"/>
        <v>0</v>
      </c>
      <c r="S35" s="476">
        <f t="shared" si="8"/>
        <v>15.67</v>
      </c>
      <c r="T35" s="476">
        <f t="shared" si="24"/>
        <v>32718.959999999999</v>
      </c>
      <c r="U35" t="s">
        <v>45</v>
      </c>
      <c r="V35" s="142">
        <f t="shared" si="10"/>
        <v>0</v>
      </c>
      <c r="W35" s="142">
        <f t="shared" si="11"/>
        <v>0</v>
      </c>
      <c r="X35" s="1076"/>
    </row>
    <row r="36" spans="1:24" x14ac:dyDescent="0.2">
      <c r="A36" t="s">
        <v>46</v>
      </c>
      <c r="B36" s="476">
        <f t="shared" si="20"/>
        <v>33971.760000000002</v>
      </c>
      <c r="C36" s="476">
        <f t="shared" si="20"/>
        <v>1415.49</v>
      </c>
      <c r="D36" s="9" t="s">
        <v>41</v>
      </c>
      <c r="E36" s="10">
        <v>6</v>
      </c>
      <c r="F36" s="476">
        <f t="shared" si="2"/>
        <v>33971.760000000002</v>
      </c>
      <c r="G36" s="476">
        <f t="shared" si="3"/>
        <v>1415.49</v>
      </c>
      <c r="H36">
        <f t="shared" si="21"/>
        <v>35328.960000000006</v>
      </c>
      <c r="I36">
        <f t="shared" si="22"/>
        <v>1472.0400000000002</v>
      </c>
      <c r="L36" t="s">
        <v>46</v>
      </c>
      <c r="M36" s="142">
        <f t="shared" si="23"/>
        <v>16.27</v>
      </c>
      <c r="N36" s="476">
        <f t="shared" si="12"/>
        <v>0</v>
      </c>
      <c r="O36" s="142">
        <f t="shared" si="6"/>
        <v>16.27</v>
      </c>
      <c r="P36" s="476">
        <f t="shared" si="7"/>
        <v>33971.760000000002</v>
      </c>
      <c r="Q36" s="476"/>
      <c r="R36" s="476">
        <f t="shared" si="18"/>
        <v>0</v>
      </c>
      <c r="S36" s="476">
        <f t="shared" si="8"/>
        <v>16.27</v>
      </c>
      <c r="T36" s="476">
        <f t="shared" si="24"/>
        <v>33971.760000000002</v>
      </c>
      <c r="U36" t="s">
        <v>46</v>
      </c>
      <c r="V36" s="142">
        <f t="shared" si="10"/>
        <v>0</v>
      </c>
      <c r="W36" s="142">
        <f t="shared" si="11"/>
        <v>0</v>
      </c>
      <c r="X36" s="1076"/>
    </row>
    <row r="37" spans="1:24" x14ac:dyDescent="0.2">
      <c r="A37" t="s">
        <v>47</v>
      </c>
      <c r="B37" s="476">
        <f t="shared" si="20"/>
        <v>35328.960000000006</v>
      </c>
      <c r="C37" s="476">
        <f t="shared" si="20"/>
        <v>1472.0400000000002</v>
      </c>
      <c r="D37" s="9" t="s">
        <v>41</v>
      </c>
      <c r="E37" s="10">
        <v>7</v>
      </c>
      <c r="F37" s="476">
        <f t="shared" si="2"/>
        <v>35328.960000000006</v>
      </c>
      <c r="G37" s="476">
        <f t="shared" si="3"/>
        <v>1472.0400000000002</v>
      </c>
      <c r="H37">
        <f t="shared" si="21"/>
        <v>36790.560000000005</v>
      </c>
      <c r="I37">
        <f t="shared" si="22"/>
        <v>1532.9400000000003</v>
      </c>
      <c r="L37" t="s">
        <v>47</v>
      </c>
      <c r="M37" s="142">
        <f t="shared" si="23"/>
        <v>16.920000000000002</v>
      </c>
      <c r="N37" s="476">
        <f t="shared" si="12"/>
        <v>0</v>
      </c>
      <c r="O37" s="142">
        <f t="shared" si="6"/>
        <v>16.920000000000002</v>
      </c>
      <c r="P37" s="476">
        <f t="shared" si="7"/>
        <v>35328.960000000006</v>
      </c>
      <c r="Q37" s="476"/>
      <c r="R37" s="476">
        <f t="shared" si="18"/>
        <v>0</v>
      </c>
      <c r="S37" s="476">
        <f t="shared" si="8"/>
        <v>16.920000000000002</v>
      </c>
      <c r="T37" s="476">
        <f t="shared" si="24"/>
        <v>35328.960000000006</v>
      </c>
      <c r="U37" t="s">
        <v>47</v>
      </c>
      <c r="V37" s="142">
        <f t="shared" si="10"/>
        <v>0</v>
      </c>
      <c r="W37" s="142">
        <f t="shared" si="11"/>
        <v>0</v>
      </c>
      <c r="X37" s="1076"/>
    </row>
    <row r="38" spans="1:24" x14ac:dyDescent="0.2">
      <c r="A38" t="s">
        <v>48</v>
      </c>
      <c r="B38" s="476">
        <f t="shared" si="20"/>
        <v>36790.560000000005</v>
      </c>
      <c r="C38" s="476">
        <f t="shared" si="20"/>
        <v>1532.9400000000003</v>
      </c>
      <c r="D38" s="9" t="s">
        <v>41</v>
      </c>
      <c r="E38" s="10">
        <v>8</v>
      </c>
      <c r="F38" s="476">
        <f t="shared" si="2"/>
        <v>36790.560000000005</v>
      </c>
      <c r="G38" s="476">
        <f t="shared" si="3"/>
        <v>1532.9400000000003</v>
      </c>
      <c r="H38">
        <f t="shared" si="21"/>
        <v>38314.800000000003</v>
      </c>
      <c r="I38">
        <f t="shared" si="22"/>
        <v>1596.45</v>
      </c>
      <c r="L38" t="s">
        <v>48</v>
      </c>
      <c r="M38" s="142">
        <f t="shared" si="23"/>
        <v>17.62</v>
      </c>
      <c r="N38" s="476">
        <f t="shared" si="12"/>
        <v>0</v>
      </c>
      <c r="O38" s="142">
        <f t="shared" si="6"/>
        <v>17.62</v>
      </c>
      <c r="P38" s="476">
        <f t="shared" si="7"/>
        <v>36790.560000000005</v>
      </c>
      <c r="Q38" s="476"/>
      <c r="R38" s="476">
        <f t="shared" si="18"/>
        <v>0</v>
      </c>
      <c r="S38" s="476">
        <f t="shared" si="8"/>
        <v>17.62</v>
      </c>
      <c r="T38" s="476">
        <f t="shared" si="24"/>
        <v>36790.560000000005</v>
      </c>
      <c r="U38" t="s">
        <v>48</v>
      </c>
      <c r="V38" s="142">
        <f t="shared" si="10"/>
        <v>0</v>
      </c>
      <c r="W38" s="142">
        <f t="shared" si="11"/>
        <v>0</v>
      </c>
      <c r="X38" s="1076"/>
    </row>
    <row r="39" spans="1:24" x14ac:dyDescent="0.2">
      <c r="A39" t="s">
        <v>252</v>
      </c>
      <c r="B39" s="478">
        <f t="shared" si="20"/>
        <v>38314.800000000003</v>
      </c>
      <c r="C39" s="478">
        <f t="shared" si="20"/>
        <v>1596.45</v>
      </c>
      <c r="D39" s="9">
        <v>20</v>
      </c>
      <c r="E39" s="10">
        <v>9</v>
      </c>
      <c r="F39" s="476">
        <f t="shared" si="2"/>
        <v>38314.800000000003</v>
      </c>
      <c r="G39" s="476">
        <f t="shared" si="3"/>
        <v>1596.45</v>
      </c>
      <c r="H39">
        <f t="shared" si="21"/>
        <v>39943.439999999995</v>
      </c>
      <c r="I39">
        <f t="shared" si="22"/>
        <v>1664.3099999999997</v>
      </c>
      <c r="L39" t="s">
        <v>252</v>
      </c>
      <c r="M39" s="143">
        <f t="shared" si="23"/>
        <v>18.350000000000001</v>
      </c>
      <c r="N39" s="476">
        <f t="shared" si="12"/>
        <v>0</v>
      </c>
      <c r="O39" s="142">
        <f t="shared" si="6"/>
        <v>18.350000000000001</v>
      </c>
      <c r="P39" s="476">
        <f t="shared" si="7"/>
        <v>38314.800000000003</v>
      </c>
      <c r="Q39" s="476"/>
      <c r="R39" s="476">
        <f t="shared" si="18"/>
        <v>0</v>
      </c>
      <c r="S39" s="476">
        <f t="shared" si="8"/>
        <v>18.350000000000001</v>
      </c>
      <c r="T39" s="476">
        <f t="shared" si="24"/>
        <v>38314.800000000003</v>
      </c>
      <c r="U39" t="s">
        <v>252</v>
      </c>
      <c r="V39" s="142">
        <f t="shared" si="10"/>
        <v>0</v>
      </c>
      <c r="W39" s="142">
        <f t="shared" si="11"/>
        <v>0</v>
      </c>
      <c r="X39" s="1076"/>
    </row>
    <row r="40" spans="1:24" x14ac:dyDescent="0.2">
      <c r="A40" t="s">
        <v>288</v>
      </c>
      <c r="B40" s="612">
        <f>P40</f>
        <v>39943.439999999995</v>
      </c>
      <c r="C40" s="612">
        <f>B40/24</f>
        <v>1664.3099999999997</v>
      </c>
      <c r="D40" s="9">
        <v>20</v>
      </c>
      <c r="E40" s="10">
        <v>10</v>
      </c>
      <c r="F40" s="476">
        <f t="shared" si="2"/>
        <v>39943.439999999995</v>
      </c>
      <c r="G40" s="476">
        <f t="shared" si="3"/>
        <v>1664.3099999999997</v>
      </c>
      <c r="H40">
        <f>F40</f>
        <v>39943.439999999995</v>
      </c>
      <c r="I40">
        <f>G40</f>
        <v>1664.3099999999997</v>
      </c>
      <c r="L40" t="s">
        <v>288</v>
      </c>
      <c r="M40" s="612">
        <v>19.13</v>
      </c>
      <c r="N40" s="476">
        <f t="shared" si="12"/>
        <v>0</v>
      </c>
      <c r="O40" s="142">
        <f t="shared" si="6"/>
        <v>19.13</v>
      </c>
      <c r="P40" s="476">
        <f t="shared" si="7"/>
        <v>39943.439999999995</v>
      </c>
      <c r="Q40" s="476"/>
      <c r="R40" s="476">
        <f t="shared" si="18"/>
        <v>0</v>
      </c>
      <c r="S40" s="476">
        <f t="shared" si="8"/>
        <v>19.13</v>
      </c>
      <c r="T40" s="530">
        <f>S40*$T$9</f>
        <v>39943.439999999995</v>
      </c>
      <c r="U40" t="s">
        <v>288</v>
      </c>
      <c r="V40" s="142">
        <f t="shared" si="10"/>
        <v>0</v>
      </c>
      <c r="W40" s="142">
        <f t="shared" si="11"/>
        <v>0</v>
      </c>
      <c r="X40" s="1076"/>
    </row>
    <row r="41" spans="1:24" x14ac:dyDescent="0.2">
      <c r="A41" t="s">
        <v>49</v>
      </c>
      <c r="B41" s="476">
        <f t="shared" ref="B41:C49" si="25">B32</f>
        <v>29148.480000000003</v>
      </c>
      <c r="C41" s="476">
        <f t="shared" si="25"/>
        <v>1214.5200000000002</v>
      </c>
      <c r="D41" s="9" t="s">
        <v>50</v>
      </c>
      <c r="E41" s="10" t="s">
        <v>23</v>
      </c>
      <c r="F41" s="476">
        <f t="shared" si="2"/>
        <v>29148.480000000003</v>
      </c>
      <c r="G41" s="476">
        <f t="shared" si="3"/>
        <v>1214.5200000000002</v>
      </c>
      <c r="H41">
        <f t="shared" ref="H41:H49" si="26">F42</f>
        <v>30213.360000000001</v>
      </c>
      <c r="I41">
        <f t="shared" ref="I41:I49" si="27">G42</f>
        <v>1258.8900000000001</v>
      </c>
      <c r="L41" t="s">
        <v>49</v>
      </c>
      <c r="M41" s="142">
        <f t="shared" ref="M41:M49" si="28">M32</f>
        <v>13.96</v>
      </c>
      <c r="N41" s="476">
        <f t="shared" si="12"/>
        <v>0</v>
      </c>
      <c r="O41" s="142">
        <f t="shared" si="6"/>
        <v>13.96</v>
      </c>
      <c r="P41" s="476">
        <f t="shared" si="7"/>
        <v>29148.480000000003</v>
      </c>
      <c r="Q41" s="476"/>
      <c r="R41" s="476">
        <f t="shared" si="18"/>
        <v>0</v>
      </c>
      <c r="S41" s="476">
        <f t="shared" si="8"/>
        <v>13.96</v>
      </c>
      <c r="T41" s="476">
        <f t="shared" ref="T41:T49" si="29">T32</f>
        <v>29148.480000000003</v>
      </c>
      <c r="U41" t="s">
        <v>49</v>
      </c>
      <c r="V41" s="142">
        <f t="shared" si="10"/>
        <v>0</v>
      </c>
      <c r="W41" s="142">
        <f t="shared" si="11"/>
        <v>0</v>
      </c>
      <c r="X41" s="1076"/>
    </row>
    <row r="42" spans="1:24" x14ac:dyDescent="0.2">
      <c r="A42" t="s">
        <v>51</v>
      </c>
      <c r="B42" s="476">
        <f t="shared" si="25"/>
        <v>30213.360000000001</v>
      </c>
      <c r="C42" s="476">
        <f t="shared" si="25"/>
        <v>1258.8900000000001</v>
      </c>
      <c r="D42" s="9" t="s">
        <v>50</v>
      </c>
      <c r="E42" s="10">
        <v>2</v>
      </c>
      <c r="F42" s="476">
        <f t="shared" si="2"/>
        <v>30213.360000000001</v>
      </c>
      <c r="G42" s="476">
        <f t="shared" si="3"/>
        <v>1258.8900000000001</v>
      </c>
      <c r="H42">
        <f t="shared" si="26"/>
        <v>31403.519999999997</v>
      </c>
      <c r="I42">
        <f t="shared" si="27"/>
        <v>1308.4799999999998</v>
      </c>
      <c r="L42" t="s">
        <v>51</v>
      </c>
      <c r="M42" s="142">
        <f t="shared" si="28"/>
        <v>14.47</v>
      </c>
      <c r="N42" s="476">
        <f t="shared" si="12"/>
        <v>0</v>
      </c>
      <c r="O42" s="142">
        <f t="shared" si="6"/>
        <v>14.47</v>
      </c>
      <c r="P42" s="476">
        <f t="shared" si="7"/>
        <v>30213.360000000001</v>
      </c>
      <c r="Q42" s="476"/>
      <c r="R42" s="476">
        <f t="shared" si="18"/>
        <v>0</v>
      </c>
      <c r="S42" s="476">
        <f t="shared" si="8"/>
        <v>14.47</v>
      </c>
      <c r="T42" s="476">
        <f t="shared" si="29"/>
        <v>30213.360000000001</v>
      </c>
      <c r="U42" t="s">
        <v>51</v>
      </c>
      <c r="V42" s="142">
        <f t="shared" si="10"/>
        <v>0</v>
      </c>
      <c r="W42" s="142">
        <f t="shared" si="11"/>
        <v>0</v>
      </c>
      <c r="X42" s="1076"/>
    </row>
    <row r="43" spans="1:24" x14ac:dyDescent="0.2">
      <c r="A43" t="s">
        <v>52</v>
      </c>
      <c r="B43" s="476">
        <f t="shared" si="25"/>
        <v>31403.519999999997</v>
      </c>
      <c r="C43" s="476">
        <f t="shared" si="25"/>
        <v>1308.4799999999998</v>
      </c>
      <c r="D43" s="9" t="s">
        <v>50</v>
      </c>
      <c r="E43" s="10">
        <v>3</v>
      </c>
      <c r="F43" s="476">
        <f t="shared" si="2"/>
        <v>31403.519999999997</v>
      </c>
      <c r="G43" s="476">
        <f t="shared" si="3"/>
        <v>1308.4799999999998</v>
      </c>
      <c r="H43">
        <f t="shared" si="26"/>
        <v>32718.959999999999</v>
      </c>
      <c r="I43">
        <f t="shared" si="27"/>
        <v>1363.29</v>
      </c>
      <c r="L43" t="s">
        <v>52</v>
      </c>
      <c r="M43" s="142">
        <f t="shared" si="28"/>
        <v>15.04</v>
      </c>
      <c r="N43" s="476">
        <f t="shared" si="12"/>
        <v>0</v>
      </c>
      <c r="O43" s="142">
        <f t="shared" si="6"/>
        <v>15.04</v>
      </c>
      <c r="P43" s="476">
        <f t="shared" si="7"/>
        <v>31403.519999999997</v>
      </c>
      <c r="Q43" s="476"/>
      <c r="R43" s="476">
        <f t="shared" si="18"/>
        <v>0</v>
      </c>
      <c r="S43" s="476">
        <f t="shared" si="8"/>
        <v>15.04</v>
      </c>
      <c r="T43" s="476">
        <f t="shared" si="29"/>
        <v>31403.519999999997</v>
      </c>
      <c r="U43" t="s">
        <v>52</v>
      </c>
      <c r="V43" s="142">
        <f t="shared" ref="V43:V74" si="30">R43*2088</f>
        <v>0</v>
      </c>
      <c r="W43" s="142">
        <f t="shared" si="11"/>
        <v>0</v>
      </c>
      <c r="X43" s="1076"/>
    </row>
    <row r="44" spans="1:24" x14ac:dyDescent="0.2">
      <c r="A44" t="s">
        <v>53</v>
      </c>
      <c r="B44" s="476">
        <f t="shared" si="25"/>
        <v>32718.959999999999</v>
      </c>
      <c r="C44" s="476">
        <f t="shared" si="25"/>
        <v>1363.29</v>
      </c>
      <c r="D44" s="9" t="s">
        <v>50</v>
      </c>
      <c r="E44" s="10">
        <v>4</v>
      </c>
      <c r="F44" s="476">
        <f t="shared" si="2"/>
        <v>32718.959999999999</v>
      </c>
      <c r="G44" s="476">
        <f t="shared" si="3"/>
        <v>1363.29</v>
      </c>
      <c r="H44">
        <f t="shared" si="26"/>
        <v>33971.760000000002</v>
      </c>
      <c r="I44">
        <f t="shared" si="27"/>
        <v>1415.49</v>
      </c>
      <c r="L44" t="s">
        <v>53</v>
      </c>
      <c r="M44" s="142">
        <f t="shared" si="28"/>
        <v>15.67</v>
      </c>
      <c r="N44" s="476">
        <f t="shared" si="12"/>
        <v>0</v>
      </c>
      <c r="O44" s="142">
        <f t="shared" si="6"/>
        <v>15.67</v>
      </c>
      <c r="P44" s="476">
        <f t="shared" si="7"/>
        <v>32718.959999999999</v>
      </c>
      <c r="Q44" s="476"/>
      <c r="R44" s="476">
        <f t="shared" si="18"/>
        <v>0</v>
      </c>
      <c r="S44" s="476">
        <f t="shared" si="8"/>
        <v>15.67</v>
      </c>
      <c r="T44" s="476">
        <f t="shared" si="29"/>
        <v>32718.959999999999</v>
      </c>
      <c r="U44" t="s">
        <v>53</v>
      </c>
      <c r="V44" s="142">
        <f t="shared" si="30"/>
        <v>0</v>
      </c>
      <c r="W44" s="142">
        <f t="shared" si="11"/>
        <v>0</v>
      </c>
      <c r="X44" s="1076"/>
    </row>
    <row r="45" spans="1:24" x14ac:dyDescent="0.2">
      <c r="A45" t="s">
        <v>54</v>
      </c>
      <c r="B45" s="476">
        <f t="shared" si="25"/>
        <v>33971.760000000002</v>
      </c>
      <c r="C45" s="476">
        <f t="shared" si="25"/>
        <v>1415.49</v>
      </c>
      <c r="D45" s="9" t="s">
        <v>50</v>
      </c>
      <c r="E45" s="10">
        <v>5</v>
      </c>
      <c r="F45" s="476">
        <f t="shared" si="2"/>
        <v>33971.760000000002</v>
      </c>
      <c r="G45" s="476">
        <f t="shared" si="3"/>
        <v>1415.49</v>
      </c>
      <c r="H45">
        <f t="shared" si="26"/>
        <v>35328.960000000006</v>
      </c>
      <c r="I45">
        <f t="shared" si="27"/>
        <v>1472.0400000000002</v>
      </c>
      <c r="L45" t="s">
        <v>54</v>
      </c>
      <c r="M45" s="142">
        <f t="shared" si="28"/>
        <v>16.27</v>
      </c>
      <c r="N45" s="476">
        <f t="shared" si="12"/>
        <v>0</v>
      </c>
      <c r="O45" s="142">
        <f t="shared" si="6"/>
        <v>16.27</v>
      </c>
      <c r="P45" s="476">
        <f t="shared" si="7"/>
        <v>33971.760000000002</v>
      </c>
      <c r="Q45" s="476"/>
      <c r="R45" s="476">
        <f t="shared" si="18"/>
        <v>0</v>
      </c>
      <c r="S45" s="476">
        <f t="shared" si="8"/>
        <v>16.27</v>
      </c>
      <c r="T45" s="476">
        <f t="shared" si="29"/>
        <v>33971.760000000002</v>
      </c>
      <c r="U45" t="s">
        <v>54</v>
      </c>
      <c r="V45" s="142">
        <f t="shared" si="30"/>
        <v>0</v>
      </c>
      <c r="W45" s="142">
        <f t="shared" si="11"/>
        <v>0</v>
      </c>
      <c r="X45" s="1076"/>
    </row>
    <row r="46" spans="1:24" x14ac:dyDescent="0.2">
      <c r="A46" t="s">
        <v>55</v>
      </c>
      <c r="B46" s="476">
        <f t="shared" si="25"/>
        <v>35328.960000000006</v>
      </c>
      <c r="C46" s="476">
        <f t="shared" si="25"/>
        <v>1472.0400000000002</v>
      </c>
      <c r="D46" s="9" t="s">
        <v>50</v>
      </c>
      <c r="E46" s="10">
        <v>6</v>
      </c>
      <c r="F46" s="476">
        <f t="shared" si="2"/>
        <v>35328.960000000006</v>
      </c>
      <c r="G46" s="476">
        <f t="shared" si="3"/>
        <v>1472.0400000000002</v>
      </c>
      <c r="H46">
        <f t="shared" si="26"/>
        <v>36790.560000000005</v>
      </c>
      <c r="I46">
        <f t="shared" si="27"/>
        <v>1532.9400000000003</v>
      </c>
      <c r="L46" t="s">
        <v>55</v>
      </c>
      <c r="M46" s="142">
        <f t="shared" si="28"/>
        <v>16.920000000000002</v>
      </c>
      <c r="N46" s="476">
        <f t="shared" si="12"/>
        <v>0</v>
      </c>
      <c r="O46" s="142">
        <f t="shared" si="6"/>
        <v>16.920000000000002</v>
      </c>
      <c r="P46" s="476">
        <f t="shared" si="7"/>
        <v>35328.960000000006</v>
      </c>
      <c r="Q46" s="476"/>
      <c r="R46" s="476">
        <f t="shared" si="18"/>
        <v>0</v>
      </c>
      <c r="S46" s="476">
        <f t="shared" si="8"/>
        <v>16.920000000000002</v>
      </c>
      <c r="T46" s="476">
        <f t="shared" si="29"/>
        <v>35328.960000000006</v>
      </c>
      <c r="U46" t="s">
        <v>55</v>
      </c>
      <c r="V46" s="142">
        <f t="shared" si="30"/>
        <v>0</v>
      </c>
      <c r="W46" s="142">
        <f t="shared" si="11"/>
        <v>0</v>
      </c>
      <c r="X46" s="1076"/>
    </row>
    <row r="47" spans="1:24" x14ac:dyDescent="0.2">
      <c r="A47" t="s">
        <v>56</v>
      </c>
      <c r="B47" s="476">
        <f t="shared" si="25"/>
        <v>36790.560000000005</v>
      </c>
      <c r="C47" s="476">
        <f t="shared" si="25"/>
        <v>1532.9400000000003</v>
      </c>
      <c r="D47" s="9" t="s">
        <v>50</v>
      </c>
      <c r="E47" s="10">
        <v>7</v>
      </c>
      <c r="F47" s="476">
        <f t="shared" si="2"/>
        <v>36790.560000000005</v>
      </c>
      <c r="G47" s="476">
        <f t="shared" si="3"/>
        <v>1532.9400000000003</v>
      </c>
      <c r="H47">
        <f t="shared" si="26"/>
        <v>38314.800000000003</v>
      </c>
      <c r="I47">
        <f t="shared" si="27"/>
        <v>1596.45</v>
      </c>
      <c r="L47" t="s">
        <v>56</v>
      </c>
      <c r="M47" s="142">
        <f t="shared" si="28"/>
        <v>17.62</v>
      </c>
      <c r="N47" s="476">
        <f t="shared" si="12"/>
        <v>0</v>
      </c>
      <c r="O47" s="142">
        <f t="shared" si="6"/>
        <v>17.62</v>
      </c>
      <c r="P47" s="476">
        <f t="shared" si="7"/>
        <v>36790.560000000005</v>
      </c>
      <c r="Q47" s="476"/>
      <c r="R47" s="476">
        <f t="shared" si="18"/>
        <v>0</v>
      </c>
      <c r="S47" s="476">
        <f t="shared" si="8"/>
        <v>17.62</v>
      </c>
      <c r="T47" s="476">
        <f t="shared" si="29"/>
        <v>36790.560000000005</v>
      </c>
      <c r="U47" t="s">
        <v>56</v>
      </c>
      <c r="V47" s="142">
        <f t="shared" si="30"/>
        <v>0</v>
      </c>
      <c r="W47" s="142">
        <f t="shared" si="11"/>
        <v>0</v>
      </c>
      <c r="X47" s="1076"/>
    </row>
    <row r="48" spans="1:24" x14ac:dyDescent="0.2">
      <c r="A48" t="s">
        <v>57</v>
      </c>
      <c r="B48" s="476">
        <f t="shared" si="25"/>
        <v>38314.800000000003</v>
      </c>
      <c r="C48" s="476">
        <f t="shared" si="25"/>
        <v>1596.45</v>
      </c>
      <c r="D48" s="9" t="s">
        <v>50</v>
      </c>
      <c r="E48" s="10">
        <v>8</v>
      </c>
      <c r="F48" s="476">
        <f t="shared" si="2"/>
        <v>38314.800000000003</v>
      </c>
      <c r="G48" s="476">
        <f t="shared" si="3"/>
        <v>1596.45</v>
      </c>
      <c r="H48">
        <f t="shared" si="26"/>
        <v>39943.439999999995</v>
      </c>
      <c r="I48">
        <f t="shared" si="27"/>
        <v>1664.3099999999997</v>
      </c>
      <c r="L48" t="s">
        <v>57</v>
      </c>
      <c r="M48" s="142">
        <f t="shared" si="28"/>
        <v>18.350000000000001</v>
      </c>
      <c r="N48" s="476">
        <f t="shared" si="12"/>
        <v>0</v>
      </c>
      <c r="O48" s="142">
        <f t="shared" si="6"/>
        <v>18.350000000000001</v>
      </c>
      <c r="P48" s="476">
        <f t="shared" si="7"/>
        <v>38314.800000000003</v>
      </c>
      <c r="Q48" s="476"/>
      <c r="R48" s="476">
        <f t="shared" si="18"/>
        <v>0</v>
      </c>
      <c r="S48" s="476">
        <f t="shared" si="8"/>
        <v>18.350000000000001</v>
      </c>
      <c r="T48" s="476">
        <f t="shared" si="29"/>
        <v>38314.800000000003</v>
      </c>
      <c r="U48" t="s">
        <v>57</v>
      </c>
      <c r="V48" s="142">
        <f t="shared" si="30"/>
        <v>0</v>
      </c>
      <c r="W48" s="142">
        <f t="shared" si="11"/>
        <v>0</v>
      </c>
      <c r="X48" s="1076"/>
    </row>
    <row r="49" spans="1:24" x14ac:dyDescent="0.2">
      <c r="A49" t="s">
        <v>253</v>
      </c>
      <c r="B49" s="478">
        <f t="shared" si="25"/>
        <v>39943.439999999995</v>
      </c>
      <c r="C49" s="478">
        <f t="shared" si="25"/>
        <v>1664.3099999999997</v>
      </c>
      <c r="D49" s="9">
        <v>21</v>
      </c>
      <c r="E49" s="10">
        <v>9</v>
      </c>
      <c r="F49" s="476">
        <f t="shared" si="2"/>
        <v>39943.439999999995</v>
      </c>
      <c r="G49" s="476">
        <f t="shared" si="3"/>
        <v>1664.3099999999997</v>
      </c>
      <c r="H49">
        <f t="shared" si="26"/>
        <v>41572.080000000002</v>
      </c>
      <c r="I49">
        <f t="shared" si="27"/>
        <v>1732.17</v>
      </c>
      <c r="L49" t="s">
        <v>253</v>
      </c>
      <c r="M49" s="143">
        <f t="shared" si="28"/>
        <v>19.13</v>
      </c>
      <c r="N49" s="476">
        <f t="shared" si="12"/>
        <v>0</v>
      </c>
      <c r="O49" s="142">
        <f t="shared" si="6"/>
        <v>19.13</v>
      </c>
      <c r="P49" s="476">
        <f t="shared" si="7"/>
        <v>39943.439999999995</v>
      </c>
      <c r="Q49" s="476"/>
      <c r="R49" s="476">
        <f t="shared" si="18"/>
        <v>0</v>
      </c>
      <c r="S49" s="476">
        <f t="shared" si="8"/>
        <v>19.13</v>
      </c>
      <c r="T49" s="476">
        <f t="shared" si="29"/>
        <v>39943.439999999995</v>
      </c>
      <c r="U49" t="s">
        <v>253</v>
      </c>
      <c r="V49" s="142">
        <f t="shared" si="30"/>
        <v>0</v>
      </c>
      <c r="W49" s="142">
        <f t="shared" si="11"/>
        <v>0</v>
      </c>
      <c r="X49" s="1076"/>
    </row>
    <row r="50" spans="1:24" x14ac:dyDescent="0.2">
      <c r="A50" t="s">
        <v>289</v>
      </c>
      <c r="B50" s="477">
        <f>P50</f>
        <v>41572.080000000002</v>
      </c>
      <c r="C50" s="477">
        <f>B50/24</f>
        <v>1732.17</v>
      </c>
      <c r="D50" s="9">
        <v>21</v>
      </c>
      <c r="E50" s="10">
        <v>10</v>
      </c>
      <c r="F50" s="476">
        <f t="shared" si="2"/>
        <v>41572.080000000002</v>
      </c>
      <c r="G50" s="476">
        <f t="shared" si="3"/>
        <v>1732.17</v>
      </c>
      <c r="H50">
        <f>F50</f>
        <v>41572.080000000002</v>
      </c>
      <c r="I50">
        <f>G50</f>
        <v>1732.17</v>
      </c>
      <c r="L50" t="s">
        <v>289</v>
      </c>
      <c r="M50" s="612">
        <v>19.91</v>
      </c>
      <c r="N50" s="476">
        <f t="shared" si="12"/>
        <v>0</v>
      </c>
      <c r="O50" s="142">
        <f t="shared" si="6"/>
        <v>19.91</v>
      </c>
      <c r="P50" s="476">
        <f t="shared" si="7"/>
        <v>41572.080000000002</v>
      </c>
      <c r="Q50" s="476"/>
      <c r="R50" s="476">
        <f t="shared" si="18"/>
        <v>0</v>
      </c>
      <c r="S50" s="476">
        <f t="shared" si="8"/>
        <v>19.91</v>
      </c>
      <c r="T50" s="477">
        <f>S50*$T$9</f>
        <v>41572.080000000002</v>
      </c>
      <c r="U50" t="s">
        <v>289</v>
      </c>
      <c r="V50" s="142">
        <f t="shared" si="30"/>
        <v>0</v>
      </c>
      <c r="W50" s="142">
        <f t="shared" si="11"/>
        <v>0</v>
      </c>
      <c r="X50" s="1076"/>
    </row>
    <row r="51" spans="1:24" x14ac:dyDescent="0.2">
      <c r="A51" t="s">
        <v>58</v>
      </c>
      <c r="B51" s="476">
        <f t="shared" ref="B51:C59" si="31">B42</f>
        <v>30213.360000000001</v>
      </c>
      <c r="C51" s="476">
        <f t="shared" si="31"/>
        <v>1258.8900000000001</v>
      </c>
      <c r="D51" s="9" t="s">
        <v>59</v>
      </c>
      <c r="E51" s="10" t="s">
        <v>23</v>
      </c>
      <c r="F51" s="476">
        <f t="shared" si="2"/>
        <v>30213.360000000001</v>
      </c>
      <c r="G51" s="476">
        <f t="shared" si="3"/>
        <v>1258.8900000000001</v>
      </c>
      <c r="H51">
        <f t="shared" ref="H51:H59" si="32">F52</f>
        <v>31403.519999999997</v>
      </c>
      <c r="I51">
        <f t="shared" ref="I51:I59" si="33">G52</f>
        <v>1308.4799999999998</v>
      </c>
      <c r="L51" t="s">
        <v>58</v>
      </c>
      <c r="M51" s="142">
        <f t="shared" ref="M51:M59" si="34">M42</f>
        <v>14.47</v>
      </c>
      <c r="N51" s="476">
        <f t="shared" si="12"/>
        <v>0</v>
      </c>
      <c r="O51" s="142">
        <f t="shared" si="6"/>
        <v>14.47</v>
      </c>
      <c r="P51" s="476">
        <f t="shared" si="7"/>
        <v>30213.360000000001</v>
      </c>
      <c r="Q51" s="476"/>
      <c r="R51" s="476">
        <f t="shared" si="18"/>
        <v>0</v>
      </c>
      <c r="S51" s="476">
        <f t="shared" si="8"/>
        <v>14.47</v>
      </c>
      <c r="T51" s="476">
        <f t="shared" ref="T51:T59" si="35">T42</f>
        <v>30213.360000000001</v>
      </c>
      <c r="U51" t="s">
        <v>58</v>
      </c>
      <c r="V51" s="142">
        <f t="shared" si="30"/>
        <v>0</v>
      </c>
      <c r="W51" s="142">
        <f t="shared" si="11"/>
        <v>0</v>
      </c>
      <c r="X51" s="1076"/>
    </row>
    <row r="52" spans="1:24" x14ac:dyDescent="0.2">
      <c r="A52" t="s">
        <v>60</v>
      </c>
      <c r="B52" s="476">
        <f t="shared" si="31"/>
        <v>31403.519999999997</v>
      </c>
      <c r="C52" s="476">
        <f t="shared" si="31"/>
        <v>1308.4799999999998</v>
      </c>
      <c r="D52" s="9" t="s">
        <v>59</v>
      </c>
      <c r="E52" s="10">
        <v>2</v>
      </c>
      <c r="F52" s="476">
        <f t="shared" si="2"/>
        <v>31403.519999999997</v>
      </c>
      <c r="G52" s="476">
        <f t="shared" si="3"/>
        <v>1308.4799999999998</v>
      </c>
      <c r="H52">
        <f t="shared" si="32"/>
        <v>32718.959999999999</v>
      </c>
      <c r="I52">
        <f t="shared" si="33"/>
        <v>1363.29</v>
      </c>
      <c r="L52" t="s">
        <v>60</v>
      </c>
      <c r="M52" s="142">
        <f t="shared" si="34"/>
        <v>15.04</v>
      </c>
      <c r="N52" s="476">
        <f t="shared" si="12"/>
        <v>0</v>
      </c>
      <c r="O52" s="142">
        <f t="shared" si="6"/>
        <v>15.04</v>
      </c>
      <c r="P52" s="476">
        <f t="shared" si="7"/>
        <v>31403.519999999997</v>
      </c>
      <c r="Q52" s="476"/>
      <c r="R52" s="476">
        <f t="shared" si="18"/>
        <v>0</v>
      </c>
      <c r="S52" s="476">
        <f t="shared" si="8"/>
        <v>15.04</v>
      </c>
      <c r="T52" s="476">
        <f t="shared" si="35"/>
        <v>31403.519999999997</v>
      </c>
      <c r="U52" t="s">
        <v>60</v>
      </c>
      <c r="V52" s="142">
        <f t="shared" si="30"/>
        <v>0</v>
      </c>
      <c r="W52" s="142">
        <f t="shared" si="11"/>
        <v>0</v>
      </c>
      <c r="X52" s="1076"/>
    </row>
    <row r="53" spans="1:24" x14ac:dyDescent="0.2">
      <c r="A53" t="s">
        <v>61</v>
      </c>
      <c r="B53" s="476">
        <f t="shared" si="31"/>
        <v>32718.959999999999</v>
      </c>
      <c r="C53" s="476">
        <f t="shared" si="31"/>
        <v>1363.29</v>
      </c>
      <c r="D53" s="9" t="s">
        <v>59</v>
      </c>
      <c r="E53" s="10">
        <v>3</v>
      </c>
      <c r="F53" s="476">
        <f t="shared" si="2"/>
        <v>32718.959999999999</v>
      </c>
      <c r="G53" s="476">
        <f t="shared" si="3"/>
        <v>1363.29</v>
      </c>
      <c r="H53">
        <f t="shared" si="32"/>
        <v>33971.760000000002</v>
      </c>
      <c r="I53">
        <f t="shared" si="33"/>
        <v>1415.49</v>
      </c>
      <c r="L53" t="s">
        <v>61</v>
      </c>
      <c r="M53" s="142">
        <f t="shared" si="34"/>
        <v>15.67</v>
      </c>
      <c r="N53" s="476">
        <f t="shared" si="12"/>
        <v>0</v>
      </c>
      <c r="O53" s="142">
        <f t="shared" si="6"/>
        <v>15.67</v>
      </c>
      <c r="P53" s="476">
        <f t="shared" si="7"/>
        <v>32718.959999999999</v>
      </c>
      <c r="Q53" s="476"/>
      <c r="R53" s="476">
        <f t="shared" si="18"/>
        <v>0</v>
      </c>
      <c r="S53" s="476">
        <f t="shared" si="8"/>
        <v>15.67</v>
      </c>
      <c r="T53" s="476">
        <f t="shared" si="35"/>
        <v>32718.959999999999</v>
      </c>
      <c r="U53" t="s">
        <v>61</v>
      </c>
      <c r="V53" s="142">
        <f t="shared" si="30"/>
        <v>0</v>
      </c>
      <c r="W53" s="142">
        <f t="shared" si="11"/>
        <v>0</v>
      </c>
      <c r="X53" s="1076"/>
    </row>
    <row r="54" spans="1:24" x14ac:dyDescent="0.2">
      <c r="A54" t="s">
        <v>62</v>
      </c>
      <c r="B54" s="476">
        <f t="shared" si="31"/>
        <v>33971.760000000002</v>
      </c>
      <c r="C54" s="476">
        <f t="shared" si="31"/>
        <v>1415.49</v>
      </c>
      <c r="D54" s="9" t="s">
        <v>59</v>
      </c>
      <c r="E54" s="10">
        <v>4</v>
      </c>
      <c r="F54" s="476">
        <f t="shared" si="2"/>
        <v>33971.760000000002</v>
      </c>
      <c r="G54" s="476">
        <f t="shared" si="3"/>
        <v>1415.49</v>
      </c>
      <c r="H54">
        <f t="shared" si="32"/>
        <v>35328.960000000006</v>
      </c>
      <c r="I54">
        <f t="shared" si="33"/>
        <v>1472.0400000000002</v>
      </c>
      <c r="L54" t="s">
        <v>62</v>
      </c>
      <c r="M54" s="142">
        <f t="shared" si="34"/>
        <v>16.27</v>
      </c>
      <c r="N54" s="476">
        <f t="shared" si="12"/>
        <v>0</v>
      </c>
      <c r="O54" s="142">
        <f t="shared" si="6"/>
        <v>16.27</v>
      </c>
      <c r="P54" s="476">
        <f t="shared" si="7"/>
        <v>33971.760000000002</v>
      </c>
      <c r="Q54" s="476"/>
      <c r="R54" s="476">
        <f t="shared" si="18"/>
        <v>0</v>
      </c>
      <c r="S54" s="476">
        <f t="shared" si="8"/>
        <v>16.27</v>
      </c>
      <c r="T54" s="476">
        <f t="shared" si="35"/>
        <v>33971.760000000002</v>
      </c>
      <c r="U54" t="s">
        <v>62</v>
      </c>
      <c r="V54" s="142">
        <f t="shared" si="30"/>
        <v>0</v>
      </c>
      <c r="W54" s="142">
        <f t="shared" si="11"/>
        <v>0</v>
      </c>
      <c r="X54" s="1076"/>
    </row>
    <row r="55" spans="1:24" x14ac:dyDescent="0.2">
      <c r="A55" t="s">
        <v>63</v>
      </c>
      <c r="B55" s="476">
        <f t="shared" si="31"/>
        <v>35328.960000000006</v>
      </c>
      <c r="C55" s="476">
        <f t="shared" si="31"/>
        <v>1472.0400000000002</v>
      </c>
      <c r="D55" s="9" t="s">
        <v>59</v>
      </c>
      <c r="E55" s="10">
        <v>5</v>
      </c>
      <c r="F55" s="476">
        <f t="shared" si="2"/>
        <v>35328.960000000006</v>
      </c>
      <c r="G55" s="476">
        <f t="shared" si="3"/>
        <v>1472.0400000000002</v>
      </c>
      <c r="H55">
        <f t="shared" si="32"/>
        <v>36790.560000000005</v>
      </c>
      <c r="I55">
        <f t="shared" si="33"/>
        <v>1532.9400000000003</v>
      </c>
      <c r="L55" t="s">
        <v>63</v>
      </c>
      <c r="M55" s="142">
        <f t="shared" si="34"/>
        <v>16.920000000000002</v>
      </c>
      <c r="N55" s="476">
        <f t="shared" si="12"/>
        <v>0</v>
      </c>
      <c r="O55" s="142">
        <f t="shared" si="6"/>
        <v>16.920000000000002</v>
      </c>
      <c r="P55" s="476">
        <f t="shared" si="7"/>
        <v>35328.960000000006</v>
      </c>
      <c r="Q55" s="476"/>
      <c r="R55" s="476">
        <f t="shared" si="18"/>
        <v>0</v>
      </c>
      <c r="S55" s="476">
        <f t="shared" si="8"/>
        <v>16.920000000000002</v>
      </c>
      <c r="T55" s="476">
        <f t="shared" si="35"/>
        <v>35328.960000000006</v>
      </c>
      <c r="U55" t="s">
        <v>63</v>
      </c>
      <c r="V55" s="142">
        <f t="shared" si="30"/>
        <v>0</v>
      </c>
      <c r="W55" s="142">
        <f t="shared" si="11"/>
        <v>0</v>
      </c>
      <c r="X55" s="1076"/>
    </row>
    <row r="56" spans="1:24" x14ac:dyDescent="0.2">
      <c r="A56" t="s">
        <v>64</v>
      </c>
      <c r="B56" s="476">
        <f t="shared" si="31"/>
        <v>36790.560000000005</v>
      </c>
      <c r="C56" s="476">
        <f t="shared" si="31"/>
        <v>1532.9400000000003</v>
      </c>
      <c r="D56" s="9" t="s">
        <v>59</v>
      </c>
      <c r="E56" s="10">
        <v>6</v>
      </c>
      <c r="F56" s="476">
        <f t="shared" si="2"/>
        <v>36790.560000000005</v>
      </c>
      <c r="G56" s="476">
        <f t="shared" si="3"/>
        <v>1532.9400000000003</v>
      </c>
      <c r="H56">
        <f t="shared" si="32"/>
        <v>38314.800000000003</v>
      </c>
      <c r="I56">
        <f t="shared" si="33"/>
        <v>1596.45</v>
      </c>
      <c r="L56" t="s">
        <v>64</v>
      </c>
      <c r="M56" s="142">
        <f t="shared" si="34"/>
        <v>17.62</v>
      </c>
      <c r="N56" s="476">
        <f t="shared" si="12"/>
        <v>0</v>
      </c>
      <c r="O56" s="142">
        <f t="shared" si="6"/>
        <v>17.62</v>
      </c>
      <c r="P56" s="476">
        <f t="shared" si="7"/>
        <v>36790.560000000005</v>
      </c>
      <c r="Q56" s="476"/>
      <c r="R56" s="476">
        <f t="shared" si="18"/>
        <v>0</v>
      </c>
      <c r="S56" s="476">
        <f t="shared" si="8"/>
        <v>17.62</v>
      </c>
      <c r="T56" s="476">
        <f t="shared" si="35"/>
        <v>36790.560000000005</v>
      </c>
      <c r="U56" t="s">
        <v>64</v>
      </c>
      <c r="V56" s="142">
        <f t="shared" si="30"/>
        <v>0</v>
      </c>
      <c r="W56" s="142">
        <f t="shared" si="11"/>
        <v>0</v>
      </c>
      <c r="X56" s="1076"/>
    </row>
    <row r="57" spans="1:24" x14ac:dyDescent="0.2">
      <c r="A57" t="s">
        <v>65</v>
      </c>
      <c r="B57" s="476">
        <f t="shared" si="31"/>
        <v>38314.800000000003</v>
      </c>
      <c r="C57" s="476">
        <f t="shared" si="31"/>
        <v>1596.45</v>
      </c>
      <c r="D57" s="9" t="s">
        <v>59</v>
      </c>
      <c r="E57" s="10">
        <v>7</v>
      </c>
      <c r="F57" s="476">
        <f t="shared" si="2"/>
        <v>38314.800000000003</v>
      </c>
      <c r="G57" s="476">
        <f t="shared" si="3"/>
        <v>1596.45</v>
      </c>
      <c r="H57">
        <f t="shared" si="32"/>
        <v>39943.439999999995</v>
      </c>
      <c r="I57">
        <f t="shared" si="33"/>
        <v>1664.3099999999997</v>
      </c>
      <c r="L57" t="s">
        <v>65</v>
      </c>
      <c r="M57" s="142">
        <f t="shared" si="34"/>
        <v>18.350000000000001</v>
      </c>
      <c r="N57" s="476">
        <f t="shared" si="12"/>
        <v>0</v>
      </c>
      <c r="O57" s="142">
        <f t="shared" si="6"/>
        <v>18.350000000000001</v>
      </c>
      <c r="P57" s="476">
        <f t="shared" si="7"/>
        <v>38314.800000000003</v>
      </c>
      <c r="Q57" s="476"/>
      <c r="R57" s="476">
        <f t="shared" si="18"/>
        <v>0</v>
      </c>
      <c r="S57" s="476">
        <f t="shared" si="8"/>
        <v>18.350000000000001</v>
      </c>
      <c r="T57" s="476">
        <f t="shared" si="35"/>
        <v>38314.800000000003</v>
      </c>
      <c r="U57" t="s">
        <v>65</v>
      </c>
      <c r="V57" s="142">
        <f t="shared" si="30"/>
        <v>0</v>
      </c>
      <c r="W57" s="142">
        <f t="shared" si="11"/>
        <v>0</v>
      </c>
      <c r="X57" s="1076"/>
    </row>
    <row r="58" spans="1:24" x14ac:dyDescent="0.2">
      <c r="A58" t="s">
        <v>66</v>
      </c>
      <c r="B58" s="476">
        <f t="shared" si="31"/>
        <v>39943.439999999995</v>
      </c>
      <c r="C58" s="476">
        <f t="shared" si="31"/>
        <v>1664.3099999999997</v>
      </c>
      <c r="D58" s="9" t="s">
        <v>59</v>
      </c>
      <c r="E58" s="10">
        <v>8</v>
      </c>
      <c r="F58" s="476">
        <f t="shared" si="2"/>
        <v>39943.439999999995</v>
      </c>
      <c r="G58" s="476">
        <f t="shared" si="3"/>
        <v>1664.3099999999997</v>
      </c>
      <c r="H58">
        <f t="shared" si="32"/>
        <v>41572.080000000002</v>
      </c>
      <c r="I58">
        <f t="shared" si="33"/>
        <v>1732.17</v>
      </c>
      <c r="L58" t="s">
        <v>66</v>
      </c>
      <c r="M58" s="142">
        <f t="shared" si="34"/>
        <v>19.13</v>
      </c>
      <c r="N58" s="476">
        <f t="shared" si="12"/>
        <v>0</v>
      </c>
      <c r="O58" s="142">
        <f t="shared" si="6"/>
        <v>19.13</v>
      </c>
      <c r="P58" s="476">
        <f t="shared" si="7"/>
        <v>39943.439999999995</v>
      </c>
      <c r="Q58" s="476"/>
      <c r="R58" s="476">
        <f t="shared" si="18"/>
        <v>0</v>
      </c>
      <c r="S58" s="476">
        <f t="shared" si="8"/>
        <v>19.13</v>
      </c>
      <c r="T58" s="476">
        <f t="shared" si="35"/>
        <v>39943.439999999995</v>
      </c>
      <c r="U58" t="s">
        <v>66</v>
      </c>
      <c r="V58" s="142">
        <f t="shared" si="30"/>
        <v>0</v>
      </c>
      <c r="W58" s="142">
        <f t="shared" si="11"/>
        <v>0</v>
      </c>
      <c r="X58" s="1076"/>
    </row>
    <row r="59" spans="1:24" x14ac:dyDescent="0.2">
      <c r="A59" t="s">
        <v>254</v>
      </c>
      <c r="B59" s="478">
        <f t="shared" si="31"/>
        <v>41572.080000000002</v>
      </c>
      <c r="C59" s="478">
        <f t="shared" si="31"/>
        <v>1732.17</v>
      </c>
      <c r="D59" s="9">
        <v>22</v>
      </c>
      <c r="E59" s="10">
        <v>9</v>
      </c>
      <c r="F59" s="476">
        <f t="shared" si="2"/>
        <v>41572.080000000002</v>
      </c>
      <c r="G59" s="476">
        <f t="shared" si="3"/>
        <v>1732.17</v>
      </c>
      <c r="H59">
        <f t="shared" si="32"/>
        <v>43346.880000000005</v>
      </c>
      <c r="I59">
        <f t="shared" si="33"/>
        <v>1806.1200000000001</v>
      </c>
      <c r="L59" t="s">
        <v>254</v>
      </c>
      <c r="M59" s="143">
        <f t="shared" si="34"/>
        <v>19.91</v>
      </c>
      <c r="N59" s="476">
        <f t="shared" si="12"/>
        <v>0</v>
      </c>
      <c r="O59" s="142">
        <f t="shared" si="6"/>
        <v>19.91</v>
      </c>
      <c r="P59" s="476">
        <f t="shared" si="7"/>
        <v>41572.080000000002</v>
      </c>
      <c r="Q59" s="476"/>
      <c r="R59" s="476">
        <f t="shared" si="18"/>
        <v>0</v>
      </c>
      <c r="S59" s="476">
        <f t="shared" si="8"/>
        <v>19.91</v>
      </c>
      <c r="T59" s="478">
        <f t="shared" si="35"/>
        <v>41572.080000000002</v>
      </c>
      <c r="U59" t="s">
        <v>254</v>
      </c>
      <c r="V59" s="142">
        <f t="shared" si="30"/>
        <v>0</v>
      </c>
      <c r="W59" s="142">
        <f t="shared" si="11"/>
        <v>0</v>
      </c>
      <c r="X59" s="1076"/>
    </row>
    <row r="60" spans="1:24" x14ac:dyDescent="0.2">
      <c r="A60" t="s">
        <v>290</v>
      </c>
      <c r="B60" s="477">
        <f>P60</f>
        <v>43346.880000000005</v>
      </c>
      <c r="C60" s="477">
        <f>B60/24</f>
        <v>1806.1200000000001</v>
      </c>
      <c r="D60" s="9">
        <v>22</v>
      </c>
      <c r="E60" s="10">
        <v>10</v>
      </c>
      <c r="F60" s="476">
        <f t="shared" si="2"/>
        <v>43346.880000000005</v>
      </c>
      <c r="G60" s="476">
        <f t="shared" si="3"/>
        <v>1806.1200000000001</v>
      </c>
      <c r="H60">
        <f>F60</f>
        <v>43346.880000000005</v>
      </c>
      <c r="I60">
        <f>G60</f>
        <v>1806.1200000000001</v>
      </c>
      <c r="L60" t="s">
        <v>290</v>
      </c>
      <c r="M60" s="612">
        <v>20.76</v>
      </c>
      <c r="N60" s="476">
        <f t="shared" si="12"/>
        <v>0</v>
      </c>
      <c r="O60" s="142">
        <f t="shared" si="6"/>
        <v>20.76</v>
      </c>
      <c r="P60" s="476">
        <f t="shared" si="7"/>
        <v>43346.880000000005</v>
      </c>
      <c r="Q60" s="476"/>
      <c r="R60" s="476">
        <f t="shared" si="18"/>
        <v>0</v>
      </c>
      <c r="S60" s="476">
        <f t="shared" si="8"/>
        <v>20.76</v>
      </c>
      <c r="T60" s="477">
        <f>S60*$T$9</f>
        <v>43346.880000000005</v>
      </c>
      <c r="U60" t="s">
        <v>290</v>
      </c>
      <c r="V60" s="142">
        <f t="shared" si="30"/>
        <v>0</v>
      </c>
      <c r="W60" s="142">
        <f t="shared" si="11"/>
        <v>0</v>
      </c>
      <c r="X60" s="1076"/>
    </row>
    <row r="61" spans="1:24" x14ac:dyDescent="0.2">
      <c r="A61" t="s">
        <v>67</v>
      </c>
      <c r="B61" s="476">
        <f t="shared" ref="B61:C69" si="36">B52</f>
        <v>31403.519999999997</v>
      </c>
      <c r="C61" s="476">
        <f t="shared" si="36"/>
        <v>1308.4799999999998</v>
      </c>
      <c r="D61" s="9" t="s">
        <v>68</v>
      </c>
      <c r="E61" s="10" t="s">
        <v>23</v>
      </c>
      <c r="F61" s="476">
        <f t="shared" si="2"/>
        <v>31403.519999999997</v>
      </c>
      <c r="G61" s="476">
        <f t="shared" si="3"/>
        <v>1308.4799999999998</v>
      </c>
      <c r="H61">
        <f t="shared" ref="H61:H69" si="37">F62</f>
        <v>32718.959999999999</v>
      </c>
      <c r="I61">
        <f t="shared" ref="I61:I69" si="38">G62</f>
        <v>1363.29</v>
      </c>
      <c r="L61" t="s">
        <v>67</v>
      </c>
      <c r="M61" s="142">
        <f t="shared" ref="M61:M69" si="39">M52</f>
        <v>15.04</v>
      </c>
      <c r="N61" s="476">
        <f>ROUND(M61*$N$9,2)</f>
        <v>0</v>
      </c>
      <c r="O61" s="142">
        <f t="shared" si="6"/>
        <v>15.04</v>
      </c>
      <c r="P61" s="476">
        <f t="shared" si="7"/>
        <v>31403.519999999997</v>
      </c>
      <c r="Q61" s="476"/>
      <c r="R61" s="476">
        <f t="shared" si="18"/>
        <v>0</v>
      </c>
      <c r="S61" s="476">
        <f t="shared" si="8"/>
        <v>15.04</v>
      </c>
      <c r="T61" s="476">
        <f t="shared" ref="T61:T69" si="40">T52</f>
        <v>31403.519999999997</v>
      </c>
      <c r="U61" t="s">
        <v>67</v>
      </c>
      <c r="V61" s="142">
        <f t="shared" si="30"/>
        <v>0</v>
      </c>
      <c r="W61" s="142">
        <f t="shared" si="11"/>
        <v>0</v>
      </c>
      <c r="X61" s="1076"/>
    </row>
    <row r="62" spans="1:24" x14ac:dyDescent="0.2">
      <c r="A62" t="s">
        <v>69</v>
      </c>
      <c r="B62" s="476">
        <f t="shared" si="36"/>
        <v>32718.959999999999</v>
      </c>
      <c r="C62" s="476">
        <f t="shared" si="36"/>
        <v>1363.29</v>
      </c>
      <c r="D62" s="9" t="s">
        <v>68</v>
      </c>
      <c r="E62" s="10">
        <v>2</v>
      </c>
      <c r="F62" s="476">
        <f t="shared" si="2"/>
        <v>32718.959999999999</v>
      </c>
      <c r="G62" s="476">
        <f t="shared" si="3"/>
        <v>1363.29</v>
      </c>
      <c r="H62">
        <f t="shared" si="37"/>
        <v>33971.760000000002</v>
      </c>
      <c r="I62">
        <f t="shared" si="38"/>
        <v>1415.49</v>
      </c>
      <c r="L62" t="s">
        <v>69</v>
      </c>
      <c r="M62" s="142">
        <f t="shared" si="39"/>
        <v>15.67</v>
      </c>
      <c r="N62" s="476">
        <f t="shared" si="12"/>
        <v>0</v>
      </c>
      <c r="O62" s="142">
        <f t="shared" si="6"/>
        <v>15.67</v>
      </c>
      <c r="P62" s="476">
        <f t="shared" si="7"/>
        <v>32718.959999999999</v>
      </c>
      <c r="Q62" s="476"/>
      <c r="R62" s="476">
        <f t="shared" si="18"/>
        <v>0</v>
      </c>
      <c r="S62" s="476">
        <f t="shared" si="8"/>
        <v>15.67</v>
      </c>
      <c r="T62" s="476">
        <f t="shared" si="40"/>
        <v>32718.959999999999</v>
      </c>
      <c r="U62" t="s">
        <v>69</v>
      </c>
      <c r="V62" s="142">
        <f t="shared" si="30"/>
        <v>0</v>
      </c>
      <c r="W62" s="142">
        <f t="shared" si="11"/>
        <v>0</v>
      </c>
      <c r="X62" s="1076"/>
    </row>
    <row r="63" spans="1:24" x14ac:dyDescent="0.2">
      <c r="A63" t="s">
        <v>70</v>
      </c>
      <c r="B63" s="476">
        <f t="shared" si="36"/>
        <v>33971.760000000002</v>
      </c>
      <c r="C63" s="476">
        <f t="shared" si="36"/>
        <v>1415.49</v>
      </c>
      <c r="D63" s="9" t="s">
        <v>68</v>
      </c>
      <c r="E63" s="10">
        <v>3</v>
      </c>
      <c r="F63" s="476">
        <f t="shared" si="2"/>
        <v>33971.760000000002</v>
      </c>
      <c r="G63" s="476">
        <f t="shared" si="3"/>
        <v>1415.49</v>
      </c>
      <c r="H63">
        <f t="shared" si="37"/>
        <v>35328.960000000006</v>
      </c>
      <c r="I63">
        <f t="shared" si="38"/>
        <v>1472.0400000000002</v>
      </c>
      <c r="L63" t="s">
        <v>70</v>
      </c>
      <c r="M63" s="142">
        <f t="shared" si="39"/>
        <v>16.27</v>
      </c>
      <c r="N63" s="476">
        <f t="shared" si="12"/>
        <v>0</v>
      </c>
      <c r="O63" s="142">
        <f t="shared" si="6"/>
        <v>16.27</v>
      </c>
      <c r="P63" s="476">
        <f t="shared" si="7"/>
        <v>33971.760000000002</v>
      </c>
      <c r="Q63" s="476"/>
      <c r="R63" s="476">
        <f t="shared" si="18"/>
        <v>0</v>
      </c>
      <c r="S63" s="476">
        <f t="shared" si="8"/>
        <v>16.27</v>
      </c>
      <c r="T63" s="476">
        <f t="shared" si="40"/>
        <v>33971.760000000002</v>
      </c>
      <c r="U63" t="s">
        <v>70</v>
      </c>
      <c r="V63" s="142">
        <f t="shared" si="30"/>
        <v>0</v>
      </c>
      <c r="W63" s="142">
        <f t="shared" si="11"/>
        <v>0</v>
      </c>
      <c r="X63" s="1076"/>
    </row>
    <row r="64" spans="1:24" x14ac:dyDescent="0.2">
      <c r="A64" t="s">
        <v>71</v>
      </c>
      <c r="B64" s="476">
        <f t="shared" si="36"/>
        <v>35328.960000000006</v>
      </c>
      <c r="C64" s="476">
        <f t="shared" si="36"/>
        <v>1472.0400000000002</v>
      </c>
      <c r="D64" s="9" t="s">
        <v>68</v>
      </c>
      <c r="E64" s="10">
        <v>4</v>
      </c>
      <c r="F64" s="476">
        <f t="shared" si="2"/>
        <v>35328.960000000006</v>
      </c>
      <c r="G64" s="476">
        <f t="shared" si="3"/>
        <v>1472.0400000000002</v>
      </c>
      <c r="H64">
        <f t="shared" si="37"/>
        <v>36790.560000000005</v>
      </c>
      <c r="I64">
        <f t="shared" si="38"/>
        <v>1532.9400000000003</v>
      </c>
      <c r="L64" t="s">
        <v>71</v>
      </c>
      <c r="M64" s="142">
        <f t="shared" si="39"/>
        <v>16.920000000000002</v>
      </c>
      <c r="N64" s="476">
        <f t="shared" si="12"/>
        <v>0</v>
      </c>
      <c r="O64" s="142">
        <f t="shared" si="6"/>
        <v>16.920000000000002</v>
      </c>
      <c r="P64" s="476">
        <f t="shared" si="7"/>
        <v>35328.960000000006</v>
      </c>
      <c r="Q64" s="476"/>
      <c r="R64" s="476">
        <f t="shared" si="18"/>
        <v>0</v>
      </c>
      <c r="S64" s="476">
        <f t="shared" si="8"/>
        <v>16.920000000000002</v>
      </c>
      <c r="T64" s="476">
        <f t="shared" si="40"/>
        <v>35328.960000000006</v>
      </c>
      <c r="U64" t="s">
        <v>71</v>
      </c>
      <c r="V64" s="142">
        <f t="shared" si="30"/>
        <v>0</v>
      </c>
      <c r="W64" s="142">
        <f t="shared" si="11"/>
        <v>0</v>
      </c>
      <c r="X64" s="1076"/>
    </row>
    <row r="65" spans="1:24" x14ac:dyDescent="0.2">
      <c r="A65" t="s">
        <v>72</v>
      </c>
      <c r="B65" s="476">
        <f t="shared" si="36"/>
        <v>36790.560000000005</v>
      </c>
      <c r="C65" s="476">
        <f t="shared" si="36"/>
        <v>1532.9400000000003</v>
      </c>
      <c r="D65" s="9" t="s">
        <v>68</v>
      </c>
      <c r="E65" s="10">
        <v>5</v>
      </c>
      <c r="F65" s="476">
        <f t="shared" si="2"/>
        <v>36790.560000000005</v>
      </c>
      <c r="G65" s="476">
        <f t="shared" si="3"/>
        <v>1532.9400000000003</v>
      </c>
      <c r="H65">
        <f t="shared" si="37"/>
        <v>38314.800000000003</v>
      </c>
      <c r="I65">
        <f t="shared" si="38"/>
        <v>1596.45</v>
      </c>
      <c r="L65" t="s">
        <v>72</v>
      </c>
      <c r="M65" s="142">
        <f t="shared" si="39"/>
        <v>17.62</v>
      </c>
      <c r="N65" s="476">
        <f t="shared" si="12"/>
        <v>0</v>
      </c>
      <c r="O65" s="142">
        <f t="shared" si="6"/>
        <v>17.62</v>
      </c>
      <c r="P65" s="476">
        <f t="shared" si="7"/>
        <v>36790.560000000005</v>
      </c>
      <c r="Q65" s="476"/>
      <c r="R65" s="476">
        <f t="shared" si="18"/>
        <v>0</v>
      </c>
      <c r="S65" s="476">
        <f t="shared" si="8"/>
        <v>17.62</v>
      </c>
      <c r="T65" s="476">
        <f t="shared" si="40"/>
        <v>36790.560000000005</v>
      </c>
      <c r="U65" t="s">
        <v>72</v>
      </c>
      <c r="V65" s="142">
        <f t="shared" si="30"/>
        <v>0</v>
      </c>
      <c r="W65" s="142">
        <f t="shared" si="11"/>
        <v>0</v>
      </c>
      <c r="X65" s="1076"/>
    </row>
    <row r="66" spans="1:24" x14ac:dyDescent="0.2">
      <c r="A66" t="s">
        <v>73</v>
      </c>
      <c r="B66" s="476">
        <f t="shared" si="36"/>
        <v>38314.800000000003</v>
      </c>
      <c r="C66" s="476">
        <f t="shared" si="36"/>
        <v>1596.45</v>
      </c>
      <c r="D66" s="9" t="s">
        <v>68</v>
      </c>
      <c r="E66" s="10">
        <v>6</v>
      </c>
      <c r="F66" s="476">
        <f t="shared" si="2"/>
        <v>38314.800000000003</v>
      </c>
      <c r="G66" s="476">
        <f t="shared" si="3"/>
        <v>1596.45</v>
      </c>
      <c r="H66">
        <f t="shared" si="37"/>
        <v>39943.439999999995</v>
      </c>
      <c r="I66">
        <f t="shared" si="38"/>
        <v>1664.3099999999997</v>
      </c>
      <c r="L66" t="s">
        <v>73</v>
      </c>
      <c r="M66" s="142">
        <f t="shared" si="39"/>
        <v>18.350000000000001</v>
      </c>
      <c r="N66" s="476">
        <f t="shared" si="12"/>
        <v>0</v>
      </c>
      <c r="O66" s="142">
        <f t="shared" si="6"/>
        <v>18.350000000000001</v>
      </c>
      <c r="P66" s="476">
        <f t="shared" si="7"/>
        <v>38314.800000000003</v>
      </c>
      <c r="Q66" s="476"/>
      <c r="R66" s="476">
        <f t="shared" si="18"/>
        <v>0</v>
      </c>
      <c r="S66" s="476">
        <f t="shared" si="8"/>
        <v>18.350000000000001</v>
      </c>
      <c r="T66" s="476">
        <f t="shared" si="40"/>
        <v>38314.800000000003</v>
      </c>
      <c r="U66" t="s">
        <v>73</v>
      </c>
      <c r="V66" s="142">
        <f t="shared" si="30"/>
        <v>0</v>
      </c>
      <c r="W66" s="142">
        <f t="shared" si="11"/>
        <v>0</v>
      </c>
      <c r="X66" s="1076"/>
    </row>
    <row r="67" spans="1:24" x14ac:dyDescent="0.2">
      <c r="A67" t="s">
        <v>74</v>
      </c>
      <c r="B67" s="476">
        <f t="shared" si="36"/>
        <v>39943.439999999995</v>
      </c>
      <c r="C67" s="476">
        <f t="shared" si="36"/>
        <v>1664.3099999999997</v>
      </c>
      <c r="D67" s="9" t="s">
        <v>68</v>
      </c>
      <c r="E67" s="10">
        <v>7</v>
      </c>
      <c r="F67" s="476">
        <f t="shared" si="2"/>
        <v>39943.439999999995</v>
      </c>
      <c r="G67" s="476">
        <f t="shared" si="3"/>
        <v>1664.3099999999997</v>
      </c>
      <c r="H67">
        <f t="shared" si="37"/>
        <v>41572.080000000002</v>
      </c>
      <c r="I67">
        <f t="shared" si="38"/>
        <v>1732.17</v>
      </c>
      <c r="L67" t="s">
        <v>74</v>
      </c>
      <c r="M67" s="142">
        <f t="shared" si="39"/>
        <v>19.13</v>
      </c>
      <c r="N67" s="476">
        <f t="shared" si="12"/>
        <v>0</v>
      </c>
      <c r="O67" s="142">
        <f t="shared" si="6"/>
        <v>19.13</v>
      </c>
      <c r="P67" s="476">
        <f t="shared" si="7"/>
        <v>39943.439999999995</v>
      </c>
      <c r="Q67" s="476"/>
      <c r="R67" s="476">
        <f t="shared" si="18"/>
        <v>0</v>
      </c>
      <c r="S67" s="476">
        <f t="shared" si="8"/>
        <v>19.13</v>
      </c>
      <c r="T67" s="476">
        <f t="shared" si="40"/>
        <v>39943.439999999995</v>
      </c>
      <c r="U67" t="s">
        <v>74</v>
      </c>
      <c r="V67" s="142">
        <f t="shared" si="30"/>
        <v>0</v>
      </c>
      <c r="W67" s="142">
        <f t="shared" si="11"/>
        <v>0</v>
      </c>
      <c r="X67" s="1076"/>
    </row>
    <row r="68" spans="1:24" x14ac:dyDescent="0.2">
      <c r="A68" t="s">
        <v>75</v>
      </c>
      <c r="B68" s="476">
        <f t="shared" si="36"/>
        <v>41572.080000000002</v>
      </c>
      <c r="C68" s="476">
        <f t="shared" si="36"/>
        <v>1732.17</v>
      </c>
      <c r="D68" s="9" t="s">
        <v>68</v>
      </c>
      <c r="E68" s="10">
        <v>8</v>
      </c>
      <c r="F68" s="476">
        <f t="shared" si="2"/>
        <v>41572.080000000002</v>
      </c>
      <c r="G68" s="476">
        <f t="shared" si="3"/>
        <v>1732.17</v>
      </c>
      <c r="H68">
        <f t="shared" si="37"/>
        <v>43346.880000000005</v>
      </c>
      <c r="I68">
        <f t="shared" si="38"/>
        <v>1806.1200000000001</v>
      </c>
      <c r="L68" t="s">
        <v>75</v>
      </c>
      <c r="M68" s="142">
        <f t="shared" si="39"/>
        <v>19.91</v>
      </c>
      <c r="N68" s="476">
        <f t="shared" si="12"/>
        <v>0</v>
      </c>
      <c r="O68" s="142">
        <f t="shared" si="6"/>
        <v>19.91</v>
      </c>
      <c r="P68" s="476">
        <f t="shared" si="7"/>
        <v>41572.080000000002</v>
      </c>
      <c r="Q68" s="476"/>
      <c r="R68" s="476">
        <f t="shared" si="18"/>
        <v>0</v>
      </c>
      <c r="S68" s="476">
        <f t="shared" si="8"/>
        <v>19.91</v>
      </c>
      <c r="T68" s="476">
        <f t="shared" si="40"/>
        <v>41572.080000000002</v>
      </c>
      <c r="U68" t="s">
        <v>75</v>
      </c>
      <c r="V68" s="142">
        <f t="shared" si="30"/>
        <v>0</v>
      </c>
      <c r="W68" s="142">
        <f t="shared" si="11"/>
        <v>0</v>
      </c>
      <c r="X68" s="1076"/>
    </row>
    <row r="69" spans="1:24" x14ac:dyDescent="0.2">
      <c r="A69" t="s">
        <v>255</v>
      </c>
      <c r="B69" s="478">
        <f t="shared" si="36"/>
        <v>43346.880000000005</v>
      </c>
      <c r="C69" s="478">
        <f t="shared" si="36"/>
        <v>1806.1200000000001</v>
      </c>
      <c r="D69" s="9">
        <v>23</v>
      </c>
      <c r="E69" s="10">
        <v>9</v>
      </c>
      <c r="F69" s="476">
        <f t="shared" si="2"/>
        <v>43346.880000000005</v>
      </c>
      <c r="G69" s="476">
        <f t="shared" si="3"/>
        <v>1806.1200000000001</v>
      </c>
      <c r="H69">
        <f t="shared" si="37"/>
        <v>45142.560000000005</v>
      </c>
      <c r="I69">
        <f t="shared" si="38"/>
        <v>1880.9400000000003</v>
      </c>
      <c r="L69" t="s">
        <v>255</v>
      </c>
      <c r="M69" s="143">
        <f t="shared" si="39"/>
        <v>20.76</v>
      </c>
      <c r="N69" s="476">
        <f t="shared" si="12"/>
        <v>0</v>
      </c>
      <c r="O69" s="142">
        <f t="shared" si="6"/>
        <v>20.76</v>
      </c>
      <c r="P69" s="476">
        <f t="shared" si="7"/>
        <v>43346.880000000005</v>
      </c>
      <c r="Q69" s="476"/>
      <c r="R69" s="476">
        <f t="shared" si="18"/>
        <v>0</v>
      </c>
      <c r="S69" s="476">
        <f t="shared" si="8"/>
        <v>20.76</v>
      </c>
      <c r="T69" s="478">
        <f t="shared" si="40"/>
        <v>43346.880000000005</v>
      </c>
      <c r="U69" t="s">
        <v>255</v>
      </c>
      <c r="V69" s="142">
        <f t="shared" si="30"/>
        <v>0</v>
      </c>
      <c r="W69" s="142">
        <f t="shared" si="11"/>
        <v>0</v>
      </c>
      <c r="X69" s="1076"/>
    </row>
    <row r="70" spans="1:24" x14ac:dyDescent="0.2">
      <c r="A70" t="s">
        <v>291</v>
      </c>
      <c r="B70" s="477">
        <f>P70</f>
        <v>45142.560000000005</v>
      </c>
      <c r="C70" s="477">
        <f>B70/24</f>
        <v>1880.9400000000003</v>
      </c>
      <c r="D70" s="9">
        <v>23</v>
      </c>
      <c r="E70" s="10">
        <v>10</v>
      </c>
      <c r="F70" s="476">
        <f t="shared" si="2"/>
        <v>45142.560000000005</v>
      </c>
      <c r="G70" s="476">
        <f t="shared" si="3"/>
        <v>1880.9400000000003</v>
      </c>
      <c r="H70">
        <f>F70</f>
        <v>45142.560000000005</v>
      </c>
      <c r="I70">
        <f>G70</f>
        <v>1880.9400000000003</v>
      </c>
      <c r="L70" t="s">
        <v>291</v>
      </c>
      <c r="M70" s="612">
        <v>21.62</v>
      </c>
      <c r="N70" s="476">
        <f t="shared" si="12"/>
        <v>0</v>
      </c>
      <c r="O70" s="142">
        <f t="shared" si="6"/>
        <v>21.62</v>
      </c>
      <c r="P70" s="476">
        <f t="shared" si="7"/>
        <v>45142.560000000005</v>
      </c>
      <c r="Q70" s="476"/>
      <c r="R70" s="476">
        <f t="shared" si="18"/>
        <v>0</v>
      </c>
      <c r="S70" s="476">
        <f t="shared" si="8"/>
        <v>21.62</v>
      </c>
      <c r="T70" s="477">
        <f>S70*$T$9</f>
        <v>45142.560000000005</v>
      </c>
      <c r="U70" t="s">
        <v>291</v>
      </c>
      <c r="V70" s="142">
        <f t="shared" si="30"/>
        <v>0</v>
      </c>
      <c r="W70" s="142">
        <f t="shared" si="11"/>
        <v>0</v>
      </c>
      <c r="X70" s="1076"/>
    </row>
    <row r="71" spans="1:24" x14ac:dyDescent="0.2">
      <c r="A71" t="s">
        <v>76</v>
      </c>
      <c r="B71" s="476">
        <f t="shared" ref="B71:C79" si="41">B62</f>
        <v>32718.959999999999</v>
      </c>
      <c r="C71" s="476">
        <f t="shared" si="41"/>
        <v>1363.29</v>
      </c>
      <c r="D71" s="9" t="s">
        <v>77</v>
      </c>
      <c r="E71" s="10" t="s">
        <v>23</v>
      </c>
      <c r="F71" s="476">
        <f t="shared" si="2"/>
        <v>32718.959999999999</v>
      </c>
      <c r="G71" s="476">
        <f t="shared" si="3"/>
        <v>1363.29</v>
      </c>
      <c r="H71">
        <f t="shared" ref="H71:H79" si="42">F72</f>
        <v>33971.760000000002</v>
      </c>
      <c r="I71">
        <f t="shared" ref="I71:I79" si="43">G72</f>
        <v>1415.49</v>
      </c>
      <c r="L71" t="s">
        <v>76</v>
      </c>
      <c r="M71" s="142">
        <f t="shared" ref="M71:M79" si="44">M62</f>
        <v>15.67</v>
      </c>
      <c r="N71" s="476">
        <f t="shared" si="12"/>
        <v>0</v>
      </c>
      <c r="O71" s="142">
        <f t="shared" si="6"/>
        <v>15.67</v>
      </c>
      <c r="P71" s="476">
        <f t="shared" si="7"/>
        <v>32718.959999999999</v>
      </c>
      <c r="Q71" s="476"/>
      <c r="R71" s="476">
        <f t="shared" si="18"/>
        <v>0</v>
      </c>
      <c r="S71" s="476">
        <f t="shared" si="8"/>
        <v>15.67</v>
      </c>
      <c r="T71" s="476">
        <f t="shared" ref="T71:T79" si="45">T62</f>
        <v>32718.959999999999</v>
      </c>
      <c r="U71" t="s">
        <v>76</v>
      </c>
      <c r="V71" s="142">
        <f t="shared" si="30"/>
        <v>0</v>
      </c>
      <c r="W71" s="142">
        <f t="shared" si="11"/>
        <v>0</v>
      </c>
      <c r="X71" s="1076"/>
    </row>
    <row r="72" spans="1:24" x14ac:dyDescent="0.2">
      <c r="A72" t="s">
        <v>78</v>
      </c>
      <c r="B72" s="476">
        <f t="shared" si="41"/>
        <v>33971.760000000002</v>
      </c>
      <c r="C72" s="476">
        <f t="shared" si="41"/>
        <v>1415.49</v>
      </c>
      <c r="D72" s="9" t="s">
        <v>77</v>
      </c>
      <c r="E72" s="10">
        <v>2</v>
      </c>
      <c r="F72" s="476">
        <f t="shared" si="2"/>
        <v>33971.760000000002</v>
      </c>
      <c r="G72" s="476">
        <f t="shared" si="3"/>
        <v>1415.49</v>
      </c>
      <c r="H72">
        <f t="shared" si="42"/>
        <v>35328.960000000006</v>
      </c>
      <c r="I72">
        <f t="shared" si="43"/>
        <v>1472.0400000000002</v>
      </c>
      <c r="L72" t="s">
        <v>78</v>
      </c>
      <c r="M72" s="142">
        <f t="shared" si="44"/>
        <v>16.27</v>
      </c>
      <c r="N72" s="476">
        <f t="shared" si="12"/>
        <v>0</v>
      </c>
      <c r="O72" s="142">
        <f t="shared" si="6"/>
        <v>16.27</v>
      </c>
      <c r="P72" s="476">
        <f t="shared" si="7"/>
        <v>33971.760000000002</v>
      </c>
      <c r="Q72" s="476"/>
      <c r="R72" s="476">
        <f t="shared" si="18"/>
        <v>0</v>
      </c>
      <c r="S72" s="476">
        <f t="shared" si="8"/>
        <v>16.27</v>
      </c>
      <c r="T72" s="476">
        <f t="shared" si="45"/>
        <v>33971.760000000002</v>
      </c>
      <c r="U72" t="s">
        <v>78</v>
      </c>
      <c r="V72" s="142">
        <f t="shared" si="30"/>
        <v>0</v>
      </c>
      <c r="W72" s="142">
        <f t="shared" si="11"/>
        <v>0</v>
      </c>
      <c r="X72" s="1076"/>
    </row>
    <row r="73" spans="1:24" x14ac:dyDescent="0.2">
      <c r="A73" t="s">
        <v>79</v>
      </c>
      <c r="B73" s="476">
        <f t="shared" si="41"/>
        <v>35328.960000000006</v>
      </c>
      <c r="C73" s="476">
        <f t="shared" si="41"/>
        <v>1472.0400000000002</v>
      </c>
      <c r="D73" s="9" t="s">
        <v>77</v>
      </c>
      <c r="E73" s="10">
        <v>3</v>
      </c>
      <c r="F73" s="476">
        <f t="shared" si="2"/>
        <v>35328.960000000006</v>
      </c>
      <c r="G73" s="476">
        <f t="shared" si="3"/>
        <v>1472.0400000000002</v>
      </c>
      <c r="H73">
        <f t="shared" si="42"/>
        <v>36790.560000000005</v>
      </c>
      <c r="I73">
        <f t="shared" si="43"/>
        <v>1532.9400000000003</v>
      </c>
      <c r="L73" t="s">
        <v>79</v>
      </c>
      <c r="M73" s="142">
        <f t="shared" si="44"/>
        <v>16.920000000000002</v>
      </c>
      <c r="N73" s="476">
        <f t="shared" si="12"/>
        <v>0</v>
      </c>
      <c r="O73" s="142">
        <f t="shared" si="6"/>
        <v>16.920000000000002</v>
      </c>
      <c r="P73" s="476">
        <f t="shared" si="7"/>
        <v>35328.960000000006</v>
      </c>
      <c r="Q73" s="476"/>
      <c r="R73" s="476">
        <f t="shared" si="18"/>
        <v>0</v>
      </c>
      <c r="S73" s="476">
        <f t="shared" si="8"/>
        <v>16.920000000000002</v>
      </c>
      <c r="T73" s="476">
        <f t="shared" si="45"/>
        <v>35328.960000000006</v>
      </c>
      <c r="U73" t="s">
        <v>79</v>
      </c>
      <c r="V73" s="142">
        <f t="shared" si="30"/>
        <v>0</v>
      </c>
      <c r="W73" s="142">
        <f t="shared" si="11"/>
        <v>0</v>
      </c>
      <c r="X73" s="1076"/>
    </row>
    <row r="74" spans="1:24" x14ac:dyDescent="0.2">
      <c r="A74" t="s">
        <v>80</v>
      </c>
      <c r="B74" s="476">
        <f t="shared" si="41"/>
        <v>36790.560000000005</v>
      </c>
      <c r="C74" s="476">
        <f t="shared" si="41"/>
        <v>1532.9400000000003</v>
      </c>
      <c r="D74" s="9" t="s">
        <v>77</v>
      </c>
      <c r="E74" s="10">
        <v>4</v>
      </c>
      <c r="F74" s="476">
        <f t="shared" si="2"/>
        <v>36790.560000000005</v>
      </c>
      <c r="G74" s="476">
        <f t="shared" si="3"/>
        <v>1532.9400000000003</v>
      </c>
      <c r="H74">
        <f t="shared" si="42"/>
        <v>38314.800000000003</v>
      </c>
      <c r="I74">
        <f t="shared" si="43"/>
        <v>1596.45</v>
      </c>
      <c r="L74" t="s">
        <v>80</v>
      </c>
      <c r="M74" s="142">
        <f t="shared" si="44"/>
        <v>17.62</v>
      </c>
      <c r="N74" s="476">
        <f t="shared" si="12"/>
        <v>0</v>
      </c>
      <c r="O74" s="142">
        <f t="shared" si="6"/>
        <v>17.62</v>
      </c>
      <c r="P74" s="476">
        <f t="shared" si="7"/>
        <v>36790.560000000005</v>
      </c>
      <c r="Q74" s="476"/>
      <c r="R74" s="476">
        <f t="shared" si="18"/>
        <v>0</v>
      </c>
      <c r="S74" s="476">
        <f t="shared" si="8"/>
        <v>17.62</v>
      </c>
      <c r="T74" s="476">
        <f t="shared" si="45"/>
        <v>36790.560000000005</v>
      </c>
      <c r="U74" t="s">
        <v>80</v>
      </c>
      <c r="V74" s="142">
        <f t="shared" si="30"/>
        <v>0</v>
      </c>
      <c r="W74" s="142">
        <f t="shared" si="11"/>
        <v>0</v>
      </c>
      <c r="X74" s="1076"/>
    </row>
    <row r="75" spans="1:24" x14ac:dyDescent="0.2">
      <c r="A75" t="s">
        <v>81</v>
      </c>
      <c r="B75" s="476">
        <f t="shared" si="41"/>
        <v>38314.800000000003</v>
      </c>
      <c r="C75" s="476">
        <f t="shared" si="41"/>
        <v>1596.45</v>
      </c>
      <c r="D75" s="9" t="s">
        <v>77</v>
      </c>
      <c r="E75" s="10">
        <v>5</v>
      </c>
      <c r="F75" s="476">
        <f t="shared" ref="F75:F138" si="46">B75</f>
        <v>38314.800000000003</v>
      </c>
      <c r="G75" s="476">
        <f t="shared" ref="G75:G138" si="47">C75</f>
        <v>1596.45</v>
      </c>
      <c r="H75">
        <f t="shared" si="42"/>
        <v>39943.439999999995</v>
      </c>
      <c r="I75">
        <f t="shared" si="43"/>
        <v>1664.3099999999997</v>
      </c>
      <c r="L75" t="s">
        <v>81</v>
      </c>
      <c r="M75" s="142">
        <f t="shared" si="44"/>
        <v>18.350000000000001</v>
      </c>
      <c r="N75" s="476">
        <f t="shared" si="12"/>
        <v>0</v>
      </c>
      <c r="O75" s="142">
        <f t="shared" ref="O75:O138" si="48">M75+N75</f>
        <v>18.350000000000001</v>
      </c>
      <c r="P75" s="476">
        <f t="shared" ref="P75:P138" si="49">O75*$P$9</f>
        <v>38314.800000000003</v>
      </c>
      <c r="Q75" s="476"/>
      <c r="R75" s="476">
        <f t="shared" si="18"/>
        <v>0</v>
      </c>
      <c r="S75" s="476">
        <f t="shared" ref="S75:S138" si="50">O75+R75</f>
        <v>18.350000000000001</v>
      </c>
      <c r="T75" s="476">
        <f t="shared" si="45"/>
        <v>38314.800000000003</v>
      </c>
      <c r="U75" t="s">
        <v>81</v>
      </c>
      <c r="V75" s="142">
        <f t="shared" ref="V75:V106" si="51">R75*2088</f>
        <v>0</v>
      </c>
      <c r="W75" s="142">
        <f t="shared" ref="W75:W138" si="52">T75-P75</f>
        <v>0</v>
      </c>
      <c r="X75" s="1076"/>
    </row>
    <row r="76" spans="1:24" x14ac:dyDescent="0.2">
      <c r="A76" t="s">
        <v>82</v>
      </c>
      <c r="B76" s="476">
        <f t="shared" si="41"/>
        <v>39943.439999999995</v>
      </c>
      <c r="C76" s="476">
        <f t="shared" si="41"/>
        <v>1664.3099999999997</v>
      </c>
      <c r="D76" s="9" t="s">
        <v>77</v>
      </c>
      <c r="E76" s="10">
        <v>6</v>
      </c>
      <c r="F76" s="476">
        <f t="shared" si="46"/>
        <v>39943.439999999995</v>
      </c>
      <c r="G76" s="476">
        <f t="shared" si="47"/>
        <v>1664.3099999999997</v>
      </c>
      <c r="H76">
        <f t="shared" si="42"/>
        <v>41572.080000000002</v>
      </c>
      <c r="I76">
        <f t="shared" si="43"/>
        <v>1732.17</v>
      </c>
      <c r="L76" t="s">
        <v>82</v>
      </c>
      <c r="M76" s="142">
        <f t="shared" si="44"/>
        <v>19.13</v>
      </c>
      <c r="N76" s="476">
        <f t="shared" ref="N76:N139" si="53">ROUND(+M76*$N$9,2)</f>
        <v>0</v>
      </c>
      <c r="O76" s="142">
        <f t="shared" si="48"/>
        <v>19.13</v>
      </c>
      <c r="P76" s="476">
        <f t="shared" si="49"/>
        <v>39943.439999999995</v>
      </c>
      <c r="Q76" s="476"/>
      <c r="R76" s="476">
        <f t="shared" si="18"/>
        <v>0</v>
      </c>
      <c r="S76" s="476">
        <f t="shared" si="50"/>
        <v>19.13</v>
      </c>
      <c r="T76" s="476">
        <f t="shared" si="45"/>
        <v>39943.439999999995</v>
      </c>
      <c r="U76" t="s">
        <v>82</v>
      </c>
      <c r="V76" s="142">
        <f t="shared" si="51"/>
        <v>0</v>
      </c>
      <c r="W76" s="142">
        <f t="shared" si="52"/>
        <v>0</v>
      </c>
      <c r="X76" s="1076"/>
    </row>
    <row r="77" spans="1:24" x14ac:dyDescent="0.2">
      <c r="A77" t="s">
        <v>83</v>
      </c>
      <c r="B77" s="476">
        <f t="shared" si="41"/>
        <v>41572.080000000002</v>
      </c>
      <c r="C77" s="476">
        <f t="shared" si="41"/>
        <v>1732.17</v>
      </c>
      <c r="D77" s="9" t="s">
        <v>77</v>
      </c>
      <c r="E77" s="10">
        <v>7</v>
      </c>
      <c r="F77" s="476">
        <f t="shared" si="46"/>
        <v>41572.080000000002</v>
      </c>
      <c r="G77" s="476">
        <f t="shared" si="47"/>
        <v>1732.17</v>
      </c>
      <c r="H77">
        <f t="shared" si="42"/>
        <v>43346.880000000005</v>
      </c>
      <c r="I77">
        <f t="shared" si="43"/>
        <v>1806.1200000000001</v>
      </c>
      <c r="L77" t="s">
        <v>83</v>
      </c>
      <c r="M77" s="142">
        <f t="shared" si="44"/>
        <v>19.91</v>
      </c>
      <c r="N77" s="476">
        <f t="shared" si="53"/>
        <v>0</v>
      </c>
      <c r="O77" s="142">
        <f t="shared" si="48"/>
        <v>19.91</v>
      </c>
      <c r="P77" s="476">
        <f t="shared" si="49"/>
        <v>41572.080000000002</v>
      </c>
      <c r="Q77" s="476"/>
      <c r="R77" s="476">
        <f t="shared" si="18"/>
        <v>0</v>
      </c>
      <c r="S77" s="476">
        <f t="shared" si="50"/>
        <v>19.91</v>
      </c>
      <c r="T77" s="476">
        <f t="shared" si="45"/>
        <v>41572.080000000002</v>
      </c>
      <c r="U77" t="s">
        <v>83</v>
      </c>
      <c r="V77" s="142">
        <f t="shared" si="51"/>
        <v>0</v>
      </c>
      <c r="W77" s="142">
        <f t="shared" si="52"/>
        <v>0</v>
      </c>
      <c r="X77" s="1076"/>
    </row>
    <row r="78" spans="1:24" x14ac:dyDescent="0.2">
      <c r="A78" t="s">
        <v>84</v>
      </c>
      <c r="B78" s="476">
        <f t="shared" si="41"/>
        <v>43346.880000000005</v>
      </c>
      <c r="C78" s="476">
        <f t="shared" si="41"/>
        <v>1806.1200000000001</v>
      </c>
      <c r="D78" s="9" t="s">
        <v>77</v>
      </c>
      <c r="E78" s="10">
        <v>8</v>
      </c>
      <c r="F78" s="476">
        <f t="shared" si="46"/>
        <v>43346.880000000005</v>
      </c>
      <c r="G78" s="476">
        <f t="shared" si="47"/>
        <v>1806.1200000000001</v>
      </c>
      <c r="H78">
        <f t="shared" si="42"/>
        <v>45142.560000000005</v>
      </c>
      <c r="I78">
        <f t="shared" si="43"/>
        <v>1880.9400000000003</v>
      </c>
      <c r="L78" t="s">
        <v>84</v>
      </c>
      <c r="M78" s="142">
        <f t="shared" si="44"/>
        <v>20.76</v>
      </c>
      <c r="N78" s="476">
        <f t="shared" si="53"/>
        <v>0</v>
      </c>
      <c r="O78" s="142">
        <f t="shared" si="48"/>
        <v>20.76</v>
      </c>
      <c r="P78" s="476">
        <f t="shared" si="49"/>
        <v>43346.880000000005</v>
      </c>
      <c r="Q78" s="476"/>
      <c r="R78" s="476">
        <f t="shared" si="18"/>
        <v>0</v>
      </c>
      <c r="S78" s="476">
        <f t="shared" si="50"/>
        <v>20.76</v>
      </c>
      <c r="T78" s="476">
        <f t="shared" si="45"/>
        <v>43346.880000000005</v>
      </c>
      <c r="U78" t="s">
        <v>84</v>
      </c>
      <c r="V78" s="142">
        <f t="shared" si="51"/>
        <v>0</v>
      </c>
      <c r="W78" s="142">
        <f t="shared" si="52"/>
        <v>0</v>
      </c>
      <c r="X78" s="1076"/>
    </row>
    <row r="79" spans="1:24" x14ac:dyDescent="0.2">
      <c r="A79" t="s">
        <v>256</v>
      </c>
      <c r="B79" s="478">
        <f t="shared" si="41"/>
        <v>45142.560000000005</v>
      </c>
      <c r="C79" s="478">
        <f t="shared" si="41"/>
        <v>1880.9400000000003</v>
      </c>
      <c r="D79" s="9">
        <v>24</v>
      </c>
      <c r="E79" s="10">
        <v>9</v>
      </c>
      <c r="F79" s="476">
        <f t="shared" si="46"/>
        <v>45142.560000000005</v>
      </c>
      <c r="G79" s="476">
        <f t="shared" si="47"/>
        <v>1880.9400000000003</v>
      </c>
      <c r="H79">
        <f t="shared" si="42"/>
        <v>47188.800000000003</v>
      </c>
      <c r="I79">
        <f t="shared" si="43"/>
        <v>1966.2</v>
      </c>
      <c r="L79" t="s">
        <v>256</v>
      </c>
      <c r="M79" s="143">
        <f t="shared" si="44"/>
        <v>21.62</v>
      </c>
      <c r="N79" s="476">
        <f t="shared" si="53"/>
        <v>0</v>
      </c>
      <c r="O79" s="142">
        <f t="shared" si="48"/>
        <v>21.62</v>
      </c>
      <c r="P79" s="476">
        <f t="shared" si="49"/>
        <v>45142.560000000005</v>
      </c>
      <c r="Q79" s="476"/>
      <c r="R79" s="476">
        <f t="shared" si="18"/>
        <v>0</v>
      </c>
      <c r="S79" s="476">
        <f t="shared" si="50"/>
        <v>21.62</v>
      </c>
      <c r="T79" s="478">
        <f t="shared" si="45"/>
        <v>45142.560000000005</v>
      </c>
      <c r="U79" t="s">
        <v>256</v>
      </c>
      <c r="V79" s="142">
        <f t="shared" si="51"/>
        <v>0</v>
      </c>
      <c r="W79" s="142">
        <f t="shared" si="52"/>
        <v>0</v>
      </c>
      <c r="X79" s="1076"/>
    </row>
    <row r="80" spans="1:24" x14ac:dyDescent="0.2">
      <c r="A80" t="s">
        <v>292</v>
      </c>
      <c r="B80" s="477">
        <f>P80</f>
        <v>47188.800000000003</v>
      </c>
      <c r="C80" s="477">
        <f>B80/24</f>
        <v>1966.2</v>
      </c>
      <c r="D80" s="9">
        <v>24</v>
      </c>
      <c r="E80" s="10">
        <v>10</v>
      </c>
      <c r="F80" s="476">
        <f t="shared" si="46"/>
        <v>47188.800000000003</v>
      </c>
      <c r="G80" s="476">
        <f t="shared" si="47"/>
        <v>1966.2</v>
      </c>
      <c r="H80">
        <f>F80</f>
        <v>47188.800000000003</v>
      </c>
      <c r="I80">
        <f>G80</f>
        <v>1966.2</v>
      </c>
      <c r="L80" t="s">
        <v>292</v>
      </c>
      <c r="M80" s="612">
        <v>22.6</v>
      </c>
      <c r="N80" s="476">
        <f t="shared" si="53"/>
        <v>0</v>
      </c>
      <c r="O80" s="142">
        <f t="shared" si="48"/>
        <v>22.6</v>
      </c>
      <c r="P80" s="476">
        <f t="shared" si="49"/>
        <v>47188.800000000003</v>
      </c>
      <c r="Q80" s="476"/>
      <c r="R80" s="476">
        <f t="shared" si="18"/>
        <v>0</v>
      </c>
      <c r="S80" s="476">
        <f t="shared" si="50"/>
        <v>22.6</v>
      </c>
      <c r="T80" s="477">
        <f>S80*$T$9</f>
        <v>47188.800000000003</v>
      </c>
      <c r="U80" t="s">
        <v>292</v>
      </c>
      <c r="V80" s="142">
        <f t="shared" si="51"/>
        <v>0</v>
      </c>
      <c r="W80" s="142">
        <f t="shared" si="52"/>
        <v>0</v>
      </c>
      <c r="X80" s="1076"/>
    </row>
    <row r="81" spans="1:24" x14ac:dyDescent="0.2">
      <c r="A81" t="s">
        <v>85</v>
      </c>
      <c r="B81" s="476">
        <f t="shared" ref="B81:C89" si="54">B72</f>
        <v>33971.760000000002</v>
      </c>
      <c r="C81" s="476">
        <f t="shared" si="54"/>
        <v>1415.49</v>
      </c>
      <c r="D81" s="9" t="s">
        <v>86</v>
      </c>
      <c r="E81" s="10" t="s">
        <v>23</v>
      </c>
      <c r="F81" s="476">
        <f t="shared" si="46"/>
        <v>33971.760000000002</v>
      </c>
      <c r="G81" s="476">
        <f t="shared" si="47"/>
        <v>1415.49</v>
      </c>
      <c r="H81">
        <f t="shared" ref="H81:H89" si="55">F82</f>
        <v>35328.960000000006</v>
      </c>
      <c r="I81">
        <f t="shared" ref="I81:I89" si="56">G82</f>
        <v>1472.0400000000002</v>
      </c>
      <c r="L81" t="s">
        <v>85</v>
      </c>
      <c r="M81" s="142">
        <f t="shared" ref="M81:M89" si="57">M72</f>
        <v>16.27</v>
      </c>
      <c r="N81" s="476">
        <f t="shared" si="53"/>
        <v>0</v>
      </c>
      <c r="O81" s="142">
        <f t="shared" si="48"/>
        <v>16.27</v>
      </c>
      <c r="P81" s="476">
        <f t="shared" si="49"/>
        <v>33971.760000000002</v>
      </c>
      <c r="Q81" s="476"/>
      <c r="R81" s="476">
        <f t="shared" si="18"/>
        <v>0</v>
      </c>
      <c r="S81" s="476">
        <f t="shared" si="50"/>
        <v>16.27</v>
      </c>
      <c r="T81" s="476">
        <f t="shared" ref="T81:T89" si="58">T72</f>
        <v>33971.760000000002</v>
      </c>
      <c r="U81" t="s">
        <v>85</v>
      </c>
      <c r="V81" s="142">
        <f t="shared" si="51"/>
        <v>0</v>
      </c>
      <c r="W81" s="142">
        <f t="shared" si="52"/>
        <v>0</v>
      </c>
      <c r="X81" s="1076"/>
    </row>
    <row r="82" spans="1:24" x14ac:dyDescent="0.2">
      <c r="A82" t="s">
        <v>87</v>
      </c>
      <c r="B82" s="476">
        <f t="shared" si="54"/>
        <v>35328.960000000006</v>
      </c>
      <c r="C82" s="476">
        <f t="shared" si="54"/>
        <v>1472.0400000000002</v>
      </c>
      <c r="D82" s="9" t="s">
        <v>86</v>
      </c>
      <c r="E82" s="10">
        <v>2</v>
      </c>
      <c r="F82" s="476">
        <f t="shared" si="46"/>
        <v>35328.960000000006</v>
      </c>
      <c r="G82" s="476">
        <f t="shared" si="47"/>
        <v>1472.0400000000002</v>
      </c>
      <c r="H82">
        <f t="shared" si="55"/>
        <v>36790.560000000005</v>
      </c>
      <c r="I82">
        <f t="shared" si="56"/>
        <v>1532.9400000000003</v>
      </c>
      <c r="L82" t="s">
        <v>87</v>
      </c>
      <c r="M82" s="142">
        <f t="shared" si="57"/>
        <v>16.920000000000002</v>
      </c>
      <c r="N82" s="476">
        <f t="shared" si="53"/>
        <v>0</v>
      </c>
      <c r="O82" s="142">
        <f t="shared" si="48"/>
        <v>16.920000000000002</v>
      </c>
      <c r="P82" s="476">
        <f t="shared" si="49"/>
        <v>35328.960000000006</v>
      </c>
      <c r="Q82" s="476"/>
      <c r="R82" s="476">
        <f t="shared" si="18"/>
        <v>0</v>
      </c>
      <c r="S82" s="476">
        <f t="shared" si="50"/>
        <v>16.920000000000002</v>
      </c>
      <c r="T82" s="476">
        <f t="shared" si="58"/>
        <v>35328.960000000006</v>
      </c>
      <c r="U82" t="s">
        <v>87</v>
      </c>
      <c r="V82" s="142">
        <f t="shared" si="51"/>
        <v>0</v>
      </c>
      <c r="W82" s="142">
        <f t="shared" si="52"/>
        <v>0</v>
      </c>
      <c r="X82" s="1076"/>
    </row>
    <row r="83" spans="1:24" x14ac:dyDescent="0.2">
      <c r="A83" t="s">
        <v>88</v>
      </c>
      <c r="B83" s="476">
        <f t="shared" si="54"/>
        <v>36790.560000000005</v>
      </c>
      <c r="C83" s="476">
        <f t="shared" si="54"/>
        <v>1532.9400000000003</v>
      </c>
      <c r="D83" s="9" t="s">
        <v>86</v>
      </c>
      <c r="E83" s="10">
        <v>3</v>
      </c>
      <c r="F83" s="476">
        <f t="shared" si="46"/>
        <v>36790.560000000005</v>
      </c>
      <c r="G83" s="476">
        <f t="shared" si="47"/>
        <v>1532.9400000000003</v>
      </c>
      <c r="H83">
        <f t="shared" si="55"/>
        <v>38314.800000000003</v>
      </c>
      <c r="I83">
        <f t="shared" si="56"/>
        <v>1596.45</v>
      </c>
      <c r="L83" t="s">
        <v>88</v>
      </c>
      <c r="M83" s="142">
        <f t="shared" si="57"/>
        <v>17.62</v>
      </c>
      <c r="N83" s="476">
        <f t="shared" si="53"/>
        <v>0</v>
      </c>
      <c r="O83" s="142">
        <f t="shared" si="48"/>
        <v>17.62</v>
      </c>
      <c r="P83" s="476">
        <f t="shared" si="49"/>
        <v>36790.560000000005</v>
      </c>
      <c r="Q83" s="476"/>
      <c r="R83" s="476">
        <f t="shared" si="18"/>
        <v>0</v>
      </c>
      <c r="S83" s="476">
        <f t="shared" si="50"/>
        <v>17.62</v>
      </c>
      <c r="T83" s="476">
        <f t="shared" si="58"/>
        <v>36790.560000000005</v>
      </c>
      <c r="U83" t="s">
        <v>88</v>
      </c>
      <c r="V83" s="142">
        <f t="shared" si="51"/>
        <v>0</v>
      </c>
      <c r="W83" s="142">
        <f t="shared" si="52"/>
        <v>0</v>
      </c>
      <c r="X83" s="1076"/>
    </row>
    <row r="84" spans="1:24" x14ac:dyDescent="0.2">
      <c r="A84" t="s">
        <v>89</v>
      </c>
      <c r="B84" s="476">
        <f t="shared" si="54"/>
        <v>38314.800000000003</v>
      </c>
      <c r="C84" s="476">
        <f t="shared" si="54"/>
        <v>1596.45</v>
      </c>
      <c r="D84" s="9" t="s">
        <v>86</v>
      </c>
      <c r="E84" s="10">
        <v>4</v>
      </c>
      <c r="F84" s="476">
        <f t="shared" si="46"/>
        <v>38314.800000000003</v>
      </c>
      <c r="G84" s="476">
        <f t="shared" si="47"/>
        <v>1596.45</v>
      </c>
      <c r="H84">
        <f t="shared" si="55"/>
        <v>39943.439999999995</v>
      </c>
      <c r="I84">
        <f t="shared" si="56"/>
        <v>1664.3099999999997</v>
      </c>
      <c r="L84" t="s">
        <v>89</v>
      </c>
      <c r="M84" s="142">
        <f t="shared" si="57"/>
        <v>18.350000000000001</v>
      </c>
      <c r="N84" s="476">
        <f t="shared" si="53"/>
        <v>0</v>
      </c>
      <c r="O84" s="142">
        <f t="shared" si="48"/>
        <v>18.350000000000001</v>
      </c>
      <c r="P84" s="476">
        <f t="shared" si="49"/>
        <v>38314.800000000003</v>
      </c>
      <c r="Q84" s="476"/>
      <c r="R84" s="476">
        <f t="shared" si="18"/>
        <v>0</v>
      </c>
      <c r="S84" s="476">
        <f t="shared" si="50"/>
        <v>18.350000000000001</v>
      </c>
      <c r="T84" s="476">
        <f t="shared" si="58"/>
        <v>38314.800000000003</v>
      </c>
      <c r="U84" t="s">
        <v>89</v>
      </c>
      <c r="V84" s="142">
        <f t="shared" si="51"/>
        <v>0</v>
      </c>
      <c r="W84" s="142">
        <f t="shared" si="52"/>
        <v>0</v>
      </c>
      <c r="X84" s="1076"/>
    </row>
    <row r="85" spans="1:24" x14ac:dyDescent="0.2">
      <c r="A85" t="s">
        <v>90</v>
      </c>
      <c r="B85" s="476">
        <f t="shared" si="54"/>
        <v>39943.439999999995</v>
      </c>
      <c r="C85" s="476">
        <f t="shared" si="54"/>
        <v>1664.3099999999997</v>
      </c>
      <c r="D85" s="9" t="s">
        <v>86</v>
      </c>
      <c r="E85" s="10">
        <v>5</v>
      </c>
      <c r="F85" s="476">
        <f t="shared" si="46"/>
        <v>39943.439999999995</v>
      </c>
      <c r="G85" s="476">
        <f t="shared" si="47"/>
        <v>1664.3099999999997</v>
      </c>
      <c r="H85">
        <f t="shared" si="55"/>
        <v>41572.080000000002</v>
      </c>
      <c r="I85">
        <f t="shared" si="56"/>
        <v>1732.17</v>
      </c>
      <c r="L85" t="s">
        <v>90</v>
      </c>
      <c r="M85" s="142">
        <f t="shared" si="57"/>
        <v>19.13</v>
      </c>
      <c r="N85" s="476">
        <f t="shared" si="53"/>
        <v>0</v>
      </c>
      <c r="O85" s="142">
        <f t="shared" si="48"/>
        <v>19.13</v>
      </c>
      <c r="P85" s="476">
        <f t="shared" si="49"/>
        <v>39943.439999999995</v>
      </c>
      <c r="Q85" s="476"/>
      <c r="R85" s="476">
        <f t="shared" ref="R85:R148" si="59">ROUND(+M85*$R$9,2)</f>
        <v>0</v>
      </c>
      <c r="S85" s="476">
        <f t="shared" si="50"/>
        <v>19.13</v>
      </c>
      <c r="T85" s="476">
        <f t="shared" si="58"/>
        <v>39943.439999999995</v>
      </c>
      <c r="U85" t="s">
        <v>90</v>
      </c>
      <c r="V85" s="142">
        <f t="shared" si="51"/>
        <v>0</v>
      </c>
      <c r="W85" s="142">
        <f t="shared" si="52"/>
        <v>0</v>
      </c>
      <c r="X85" s="1076"/>
    </row>
    <row r="86" spans="1:24" x14ac:dyDescent="0.2">
      <c r="A86" t="s">
        <v>91</v>
      </c>
      <c r="B86" s="476">
        <f t="shared" si="54"/>
        <v>41572.080000000002</v>
      </c>
      <c r="C86" s="476">
        <f t="shared" si="54"/>
        <v>1732.17</v>
      </c>
      <c r="D86" s="9" t="s">
        <v>86</v>
      </c>
      <c r="E86" s="10">
        <v>6</v>
      </c>
      <c r="F86" s="476">
        <f t="shared" si="46"/>
        <v>41572.080000000002</v>
      </c>
      <c r="G86" s="476">
        <f t="shared" si="47"/>
        <v>1732.17</v>
      </c>
      <c r="H86">
        <f t="shared" si="55"/>
        <v>43346.880000000005</v>
      </c>
      <c r="I86">
        <f t="shared" si="56"/>
        <v>1806.1200000000001</v>
      </c>
      <c r="L86" t="s">
        <v>91</v>
      </c>
      <c r="M86" s="142">
        <f t="shared" si="57"/>
        <v>19.91</v>
      </c>
      <c r="N86" s="476">
        <f t="shared" si="53"/>
        <v>0</v>
      </c>
      <c r="O86" s="142">
        <f t="shared" si="48"/>
        <v>19.91</v>
      </c>
      <c r="P86" s="476">
        <f t="shared" si="49"/>
        <v>41572.080000000002</v>
      </c>
      <c r="Q86" s="476"/>
      <c r="R86" s="476">
        <f t="shared" si="59"/>
        <v>0</v>
      </c>
      <c r="S86" s="476">
        <f t="shared" si="50"/>
        <v>19.91</v>
      </c>
      <c r="T86" s="476">
        <f t="shared" si="58"/>
        <v>41572.080000000002</v>
      </c>
      <c r="U86" t="s">
        <v>91</v>
      </c>
      <c r="V86" s="142">
        <f t="shared" si="51"/>
        <v>0</v>
      </c>
      <c r="W86" s="142">
        <f t="shared" si="52"/>
        <v>0</v>
      </c>
      <c r="X86" s="1076"/>
    </row>
    <row r="87" spans="1:24" x14ac:dyDescent="0.2">
      <c r="A87" t="s">
        <v>92</v>
      </c>
      <c r="B87" s="476">
        <f t="shared" si="54"/>
        <v>43346.880000000005</v>
      </c>
      <c r="C87" s="476">
        <f t="shared" si="54"/>
        <v>1806.1200000000001</v>
      </c>
      <c r="D87" s="9" t="s">
        <v>86</v>
      </c>
      <c r="E87" s="10">
        <v>7</v>
      </c>
      <c r="F87" s="476">
        <f t="shared" si="46"/>
        <v>43346.880000000005</v>
      </c>
      <c r="G87" s="476">
        <f t="shared" si="47"/>
        <v>1806.1200000000001</v>
      </c>
      <c r="H87">
        <f t="shared" si="55"/>
        <v>45142.560000000005</v>
      </c>
      <c r="I87">
        <f t="shared" si="56"/>
        <v>1880.9400000000003</v>
      </c>
      <c r="L87" t="s">
        <v>92</v>
      </c>
      <c r="M87" s="142">
        <f t="shared" si="57"/>
        <v>20.76</v>
      </c>
      <c r="N87" s="476">
        <f t="shared" si="53"/>
        <v>0</v>
      </c>
      <c r="O87" s="142">
        <f t="shared" si="48"/>
        <v>20.76</v>
      </c>
      <c r="P87" s="476">
        <f t="shared" si="49"/>
        <v>43346.880000000005</v>
      </c>
      <c r="Q87" s="476"/>
      <c r="R87" s="476">
        <f t="shared" si="59"/>
        <v>0</v>
      </c>
      <c r="S87" s="476">
        <f t="shared" si="50"/>
        <v>20.76</v>
      </c>
      <c r="T87" s="476">
        <f t="shared" si="58"/>
        <v>43346.880000000005</v>
      </c>
      <c r="U87" t="s">
        <v>92</v>
      </c>
      <c r="V87" s="142">
        <f t="shared" si="51"/>
        <v>0</v>
      </c>
      <c r="W87" s="142">
        <f t="shared" si="52"/>
        <v>0</v>
      </c>
      <c r="X87" s="1076"/>
    </row>
    <row r="88" spans="1:24" x14ac:dyDescent="0.2">
      <c r="A88" t="s">
        <v>93</v>
      </c>
      <c r="B88" s="476">
        <f t="shared" si="54"/>
        <v>45142.560000000005</v>
      </c>
      <c r="C88" s="476">
        <f t="shared" si="54"/>
        <v>1880.9400000000003</v>
      </c>
      <c r="D88" s="9" t="s">
        <v>86</v>
      </c>
      <c r="E88" s="10">
        <v>8</v>
      </c>
      <c r="F88" s="476">
        <f t="shared" si="46"/>
        <v>45142.560000000005</v>
      </c>
      <c r="G88" s="476">
        <f t="shared" si="47"/>
        <v>1880.9400000000003</v>
      </c>
      <c r="H88">
        <f t="shared" si="55"/>
        <v>47188.800000000003</v>
      </c>
      <c r="I88">
        <f t="shared" si="56"/>
        <v>1966.2</v>
      </c>
      <c r="L88" t="s">
        <v>93</v>
      </c>
      <c r="M88" s="142">
        <f t="shared" si="57"/>
        <v>21.62</v>
      </c>
      <c r="N88" s="476">
        <f t="shared" si="53"/>
        <v>0</v>
      </c>
      <c r="O88" s="142">
        <f t="shared" si="48"/>
        <v>21.62</v>
      </c>
      <c r="P88" s="476">
        <f t="shared" si="49"/>
        <v>45142.560000000005</v>
      </c>
      <c r="Q88" s="476"/>
      <c r="R88" s="476">
        <f t="shared" si="59"/>
        <v>0</v>
      </c>
      <c r="S88" s="476">
        <f t="shared" si="50"/>
        <v>21.62</v>
      </c>
      <c r="T88" s="476">
        <f t="shared" si="58"/>
        <v>45142.560000000005</v>
      </c>
      <c r="U88" t="s">
        <v>93</v>
      </c>
      <c r="V88" s="142">
        <f t="shared" si="51"/>
        <v>0</v>
      </c>
      <c r="W88" s="142">
        <f t="shared" si="52"/>
        <v>0</v>
      </c>
      <c r="X88" s="1076"/>
    </row>
    <row r="89" spans="1:24" x14ac:dyDescent="0.2">
      <c r="A89" t="s">
        <v>257</v>
      </c>
      <c r="B89" s="478">
        <f t="shared" si="54"/>
        <v>47188.800000000003</v>
      </c>
      <c r="C89" s="478">
        <f t="shared" si="54"/>
        <v>1966.2</v>
      </c>
      <c r="D89" s="9">
        <v>25</v>
      </c>
      <c r="E89" s="10">
        <v>9</v>
      </c>
      <c r="F89" s="476">
        <f t="shared" si="46"/>
        <v>47188.800000000003</v>
      </c>
      <c r="G89" s="476">
        <f t="shared" si="47"/>
        <v>1966.2</v>
      </c>
      <c r="H89">
        <f t="shared" si="55"/>
        <v>49151.519999999997</v>
      </c>
      <c r="I89">
        <f t="shared" si="56"/>
        <v>2047.9799999999998</v>
      </c>
      <c r="L89" t="s">
        <v>257</v>
      </c>
      <c r="M89" s="143">
        <f t="shared" si="57"/>
        <v>22.6</v>
      </c>
      <c r="N89" s="476">
        <f t="shared" si="53"/>
        <v>0</v>
      </c>
      <c r="O89" s="142">
        <f t="shared" si="48"/>
        <v>22.6</v>
      </c>
      <c r="P89" s="476">
        <f t="shared" si="49"/>
        <v>47188.800000000003</v>
      </c>
      <c r="Q89" s="476"/>
      <c r="R89" s="476">
        <f t="shared" si="59"/>
        <v>0</v>
      </c>
      <c r="S89" s="476">
        <f t="shared" si="50"/>
        <v>22.6</v>
      </c>
      <c r="T89" s="478">
        <f t="shared" si="58"/>
        <v>47188.800000000003</v>
      </c>
      <c r="U89" t="s">
        <v>257</v>
      </c>
      <c r="V89" s="142">
        <f t="shared" si="51"/>
        <v>0</v>
      </c>
      <c r="W89" s="142">
        <f t="shared" si="52"/>
        <v>0</v>
      </c>
      <c r="X89" s="1076"/>
    </row>
    <row r="90" spans="1:24" x14ac:dyDescent="0.2">
      <c r="A90" t="s">
        <v>293</v>
      </c>
      <c r="B90" s="477">
        <f>P90</f>
        <v>49151.519999999997</v>
      </c>
      <c r="C90" s="477">
        <f>B90/24</f>
        <v>2047.9799999999998</v>
      </c>
      <c r="D90" s="9">
        <v>25</v>
      </c>
      <c r="E90" s="10">
        <v>10</v>
      </c>
      <c r="F90" s="476">
        <f t="shared" si="46"/>
        <v>49151.519999999997</v>
      </c>
      <c r="G90" s="476">
        <f t="shared" si="47"/>
        <v>2047.9799999999998</v>
      </c>
      <c r="H90">
        <f>F90</f>
        <v>49151.519999999997</v>
      </c>
      <c r="I90">
        <f>G90</f>
        <v>2047.9799999999998</v>
      </c>
      <c r="L90" t="s">
        <v>293</v>
      </c>
      <c r="M90" s="612">
        <v>23.54</v>
      </c>
      <c r="N90" s="476">
        <f t="shared" si="53"/>
        <v>0</v>
      </c>
      <c r="O90" s="142">
        <f t="shared" si="48"/>
        <v>23.54</v>
      </c>
      <c r="P90" s="476">
        <f t="shared" si="49"/>
        <v>49151.519999999997</v>
      </c>
      <c r="Q90" s="476"/>
      <c r="R90" s="476">
        <f t="shared" si="59"/>
        <v>0</v>
      </c>
      <c r="S90" s="476">
        <f t="shared" si="50"/>
        <v>23.54</v>
      </c>
      <c r="T90" s="477">
        <f>S90*$T$9</f>
        <v>49151.519999999997</v>
      </c>
      <c r="U90" t="s">
        <v>293</v>
      </c>
      <c r="V90" s="142">
        <f t="shared" si="51"/>
        <v>0</v>
      </c>
      <c r="W90" s="142">
        <f t="shared" si="52"/>
        <v>0</v>
      </c>
      <c r="X90" s="1076"/>
    </row>
    <row r="91" spans="1:24" x14ac:dyDescent="0.2">
      <c r="A91" t="s">
        <v>94</v>
      </c>
      <c r="B91" s="476">
        <f t="shared" ref="B91:C99" si="60">B82</f>
        <v>35328.960000000006</v>
      </c>
      <c r="C91" s="476">
        <f t="shared" si="60"/>
        <v>1472.0400000000002</v>
      </c>
      <c r="D91" s="9" t="s">
        <v>95</v>
      </c>
      <c r="E91" s="10" t="s">
        <v>23</v>
      </c>
      <c r="F91" s="476">
        <f t="shared" si="46"/>
        <v>35328.960000000006</v>
      </c>
      <c r="G91" s="476">
        <f t="shared" si="47"/>
        <v>1472.0400000000002</v>
      </c>
      <c r="H91">
        <f t="shared" ref="H91:H99" si="61">F92</f>
        <v>36790.560000000005</v>
      </c>
      <c r="I91">
        <f t="shared" ref="I91:I99" si="62">G92</f>
        <v>1532.9400000000003</v>
      </c>
      <c r="L91" t="s">
        <v>94</v>
      </c>
      <c r="M91" s="142">
        <f t="shared" ref="M91:M99" si="63">M82</f>
        <v>16.920000000000002</v>
      </c>
      <c r="N91" s="476">
        <f t="shared" si="53"/>
        <v>0</v>
      </c>
      <c r="O91" s="142">
        <f t="shared" si="48"/>
        <v>16.920000000000002</v>
      </c>
      <c r="P91" s="476">
        <f t="shared" si="49"/>
        <v>35328.960000000006</v>
      </c>
      <c r="Q91" s="476"/>
      <c r="R91" s="476">
        <f t="shared" si="59"/>
        <v>0</v>
      </c>
      <c r="S91" s="476">
        <f t="shared" si="50"/>
        <v>16.920000000000002</v>
      </c>
      <c r="T91" s="476">
        <f t="shared" ref="T91:T99" si="64">T82</f>
        <v>35328.960000000006</v>
      </c>
      <c r="U91" t="s">
        <v>94</v>
      </c>
      <c r="V91" s="142">
        <f t="shared" si="51"/>
        <v>0</v>
      </c>
      <c r="W91" s="142">
        <f t="shared" si="52"/>
        <v>0</v>
      </c>
      <c r="X91" s="1076"/>
    </row>
    <row r="92" spans="1:24" x14ac:dyDescent="0.2">
      <c r="A92" t="s">
        <v>96</v>
      </c>
      <c r="B92" s="476">
        <f t="shared" si="60"/>
        <v>36790.560000000005</v>
      </c>
      <c r="C92" s="476">
        <f t="shared" si="60"/>
        <v>1532.9400000000003</v>
      </c>
      <c r="D92" s="9" t="s">
        <v>95</v>
      </c>
      <c r="E92" s="10">
        <v>2</v>
      </c>
      <c r="F92" s="476">
        <f t="shared" si="46"/>
        <v>36790.560000000005</v>
      </c>
      <c r="G92" s="476">
        <f t="shared" si="47"/>
        <v>1532.9400000000003</v>
      </c>
      <c r="H92">
        <f t="shared" si="61"/>
        <v>38314.800000000003</v>
      </c>
      <c r="I92">
        <f t="shared" si="62"/>
        <v>1596.45</v>
      </c>
      <c r="L92" t="s">
        <v>96</v>
      </c>
      <c r="M92" s="142">
        <f t="shared" si="63"/>
        <v>17.62</v>
      </c>
      <c r="N92" s="476">
        <f t="shared" si="53"/>
        <v>0</v>
      </c>
      <c r="O92" s="142">
        <f t="shared" si="48"/>
        <v>17.62</v>
      </c>
      <c r="P92" s="476">
        <f t="shared" si="49"/>
        <v>36790.560000000005</v>
      </c>
      <c r="Q92" s="476"/>
      <c r="R92" s="476">
        <f t="shared" si="59"/>
        <v>0</v>
      </c>
      <c r="S92" s="476">
        <f t="shared" si="50"/>
        <v>17.62</v>
      </c>
      <c r="T92" s="476">
        <f t="shared" si="64"/>
        <v>36790.560000000005</v>
      </c>
      <c r="U92" t="s">
        <v>96</v>
      </c>
      <c r="V92" s="142">
        <f t="shared" si="51"/>
        <v>0</v>
      </c>
      <c r="W92" s="142">
        <f t="shared" si="52"/>
        <v>0</v>
      </c>
      <c r="X92" s="1076"/>
    </row>
    <row r="93" spans="1:24" x14ac:dyDescent="0.2">
      <c r="A93" t="s">
        <v>97</v>
      </c>
      <c r="B93" s="476">
        <f t="shared" si="60"/>
        <v>38314.800000000003</v>
      </c>
      <c r="C93" s="476">
        <f t="shared" si="60"/>
        <v>1596.45</v>
      </c>
      <c r="D93" s="9" t="s">
        <v>95</v>
      </c>
      <c r="E93" s="10">
        <v>3</v>
      </c>
      <c r="F93" s="476">
        <f t="shared" si="46"/>
        <v>38314.800000000003</v>
      </c>
      <c r="G93" s="476">
        <f t="shared" si="47"/>
        <v>1596.45</v>
      </c>
      <c r="H93">
        <f t="shared" si="61"/>
        <v>39943.439999999995</v>
      </c>
      <c r="I93">
        <f t="shared" si="62"/>
        <v>1664.3099999999997</v>
      </c>
      <c r="L93" t="s">
        <v>97</v>
      </c>
      <c r="M93" s="142">
        <f t="shared" si="63"/>
        <v>18.350000000000001</v>
      </c>
      <c r="N93" s="476">
        <f t="shared" si="53"/>
        <v>0</v>
      </c>
      <c r="O93" s="142">
        <f t="shared" si="48"/>
        <v>18.350000000000001</v>
      </c>
      <c r="P93" s="476">
        <f t="shared" si="49"/>
        <v>38314.800000000003</v>
      </c>
      <c r="Q93" s="476"/>
      <c r="R93" s="476">
        <f t="shared" si="59"/>
        <v>0</v>
      </c>
      <c r="S93" s="476">
        <f t="shared" si="50"/>
        <v>18.350000000000001</v>
      </c>
      <c r="T93" s="476">
        <f t="shared" si="64"/>
        <v>38314.800000000003</v>
      </c>
      <c r="U93" t="s">
        <v>97</v>
      </c>
      <c r="V93" s="142">
        <f t="shared" si="51"/>
        <v>0</v>
      </c>
      <c r="W93" s="142">
        <f t="shared" si="52"/>
        <v>0</v>
      </c>
      <c r="X93" s="1076"/>
    </row>
    <row r="94" spans="1:24" x14ac:dyDescent="0.2">
      <c r="A94" t="s">
        <v>98</v>
      </c>
      <c r="B94" s="476">
        <f t="shared" si="60"/>
        <v>39943.439999999995</v>
      </c>
      <c r="C94" s="476">
        <f t="shared" si="60"/>
        <v>1664.3099999999997</v>
      </c>
      <c r="D94" s="9" t="s">
        <v>95</v>
      </c>
      <c r="E94" s="10">
        <v>4</v>
      </c>
      <c r="F94" s="476">
        <f t="shared" si="46"/>
        <v>39943.439999999995</v>
      </c>
      <c r="G94" s="476">
        <f t="shared" si="47"/>
        <v>1664.3099999999997</v>
      </c>
      <c r="H94">
        <f t="shared" si="61"/>
        <v>41572.080000000002</v>
      </c>
      <c r="I94">
        <f t="shared" si="62"/>
        <v>1732.17</v>
      </c>
      <c r="L94" t="s">
        <v>98</v>
      </c>
      <c r="M94" s="142">
        <f t="shared" si="63"/>
        <v>19.13</v>
      </c>
      <c r="N94" s="476">
        <f t="shared" si="53"/>
        <v>0</v>
      </c>
      <c r="O94" s="142">
        <f t="shared" si="48"/>
        <v>19.13</v>
      </c>
      <c r="P94" s="476">
        <f t="shared" si="49"/>
        <v>39943.439999999995</v>
      </c>
      <c r="Q94" s="476"/>
      <c r="R94" s="476">
        <f t="shared" si="59"/>
        <v>0</v>
      </c>
      <c r="S94" s="476">
        <f t="shared" si="50"/>
        <v>19.13</v>
      </c>
      <c r="T94" s="476">
        <f t="shared" si="64"/>
        <v>39943.439999999995</v>
      </c>
      <c r="U94" t="s">
        <v>98</v>
      </c>
      <c r="V94" s="142">
        <f t="shared" si="51"/>
        <v>0</v>
      </c>
      <c r="W94" s="142">
        <f t="shared" si="52"/>
        <v>0</v>
      </c>
      <c r="X94" s="1076"/>
    </row>
    <row r="95" spans="1:24" x14ac:dyDescent="0.2">
      <c r="A95" t="s">
        <v>99</v>
      </c>
      <c r="B95" s="476">
        <f t="shared" si="60"/>
        <v>41572.080000000002</v>
      </c>
      <c r="C95" s="476">
        <f t="shared" si="60"/>
        <v>1732.17</v>
      </c>
      <c r="D95" s="9" t="s">
        <v>95</v>
      </c>
      <c r="E95" s="10">
        <v>5</v>
      </c>
      <c r="F95" s="476">
        <f t="shared" si="46"/>
        <v>41572.080000000002</v>
      </c>
      <c r="G95" s="476">
        <f t="shared" si="47"/>
        <v>1732.17</v>
      </c>
      <c r="H95">
        <f t="shared" si="61"/>
        <v>43346.880000000005</v>
      </c>
      <c r="I95">
        <f t="shared" si="62"/>
        <v>1806.1200000000001</v>
      </c>
      <c r="L95" t="s">
        <v>99</v>
      </c>
      <c r="M95" s="142">
        <f t="shared" si="63"/>
        <v>19.91</v>
      </c>
      <c r="N95" s="476">
        <f t="shared" si="53"/>
        <v>0</v>
      </c>
      <c r="O95" s="142">
        <f t="shared" si="48"/>
        <v>19.91</v>
      </c>
      <c r="P95" s="476">
        <f t="shared" si="49"/>
        <v>41572.080000000002</v>
      </c>
      <c r="Q95" s="476"/>
      <c r="R95" s="476">
        <f t="shared" si="59"/>
        <v>0</v>
      </c>
      <c r="S95" s="476">
        <f t="shared" si="50"/>
        <v>19.91</v>
      </c>
      <c r="T95" s="476">
        <f t="shared" si="64"/>
        <v>41572.080000000002</v>
      </c>
      <c r="U95" t="s">
        <v>99</v>
      </c>
      <c r="V95" s="142">
        <f t="shared" si="51"/>
        <v>0</v>
      </c>
      <c r="W95" s="142">
        <f t="shared" si="52"/>
        <v>0</v>
      </c>
      <c r="X95" s="1076"/>
    </row>
    <row r="96" spans="1:24" x14ac:dyDescent="0.2">
      <c r="A96" t="s">
        <v>100</v>
      </c>
      <c r="B96" s="476">
        <f t="shared" si="60"/>
        <v>43346.880000000005</v>
      </c>
      <c r="C96" s="476">
        <f t="shared" si="60"/>
        <v>1806.1200000000001</v>
      </c>
      <c r="D96" s="9" t="s">
        <v>95</v>
      </c>
      <c r="E96" s="10">
        <v>6</v>
      </c>
      <c r="F96" s="476">
        <f t="shared" si="46"/>
        <v>43346.880000000005</v>
      </c>
      <c r="G96" s="476">
        <f t="shared" si="47"/>
        <v>1806.1200000000001</v>
      </c>
      <c r="H96">
        <f t="shared" si="61"/>
        <v>45142.560000000005</v>
      </c>
      <c r="I96">
        <f t="shared" si="62"/>
        <v>1880.9400000000003</v>
      </c>
      <c r="L96" t="s">
        <v>100</v>
      </c>
      <c r="M96" s="142">
        <f t="shared" si="63"/>
        <v>20.76</v>
      </c>
      <c r="N96" s="476">
        <f t="shared" si="53"/>
        <v>0</v>
      </c>
      <c r="O96" s="142">
        <f t="shared" si="48"/>
        <v>20.76</v>
      </c>
      <c r="P96" s="476">
        <f t="shared" si="49"/>
        <v>43346.880000000005</v>
      </c>
      <c r="Q96" s="476"/>
      <c r="R96" s="476">
        <f t="shared" si="59"/>
        <v>0</v>
      </c>
      <c r="S96" s="476">
        <f t="shared" si="50"/>
        <v>20.76</v>
      </c>
      <c r="T96" s="476">
        <f t="shared" si="64"/>
        <v>43346.880000000005</v>
      </c>
      <c r="U96" t="s">
        <v>100</v>
      </c>
      <c r="V96" s="142">
        <f t="shared" si="51"/>
        <v>0</v>
      </c>
      <c r="W96" s="142">
        <f t="shared" si="52"/>
        <v>0</v>
      </c>
      <c r="X96" s="1076"/>
    </row>
    <row r="97" spans="1:24" x14ac:dyDescent="0.2">
      <c r="A97" t="s">
        <v>101</v>
      </c>
      <c r="B97" s="476">
        <f t="shared" si="60"/>
        <v>45142.560000000005</v>
      </c>
      <c r="C97" s="476">
        <f t="shared" si="60"/>
        <v>1880.9400000000003</v>
      </c>
      <c r="D97" s="9" t="s">
        <v>95</v>
      </c>
      <c r="E97" s="10">
        <v>7</v>
      </c>
      <c r="F97" s="476">
        <f t="shared" si="46"/>
        <v>45142.560000000005</v>
      </c>
      <c r="G97" s="476">
        <f t="shared" si="47"/>
        <v>1880.9400000000003</v>
      </c>
      <c r="H97">
        <f t="shared" si="61"/>
        <v>47188.800000000003</v>
      </c>
      <c r="I97">
        <f t="shared" si="62"/>
        <v>1966.2</v>
      </c>
      <c r="L97" t="s">
        <v>101</v>
      </c>
      <c r="M97" s="142">
        <f t="shared" si="63"/>
        <v>21.62</v>
      </c>
      <c r="N97" s="476">
        <f t="shared" si="53"/>
        <v>0</v>
      </c>
      <c r="O97" s="142">
        <f t="shared" si="48"/>
        <v>21.62</v>
      </c>
      <c r="P97" s="476">
        <f t="shared" si="49"/>
        <v>45142.560000000005</v>
      </c>
      <c r="Q97" s="476"/>
      <c r="R97" s="476">
        <f t="shared" si="59"/>
        <v>0</v>
      </c>
      <c r="S97" s="476">
        <f t="shared" si="50"/>
        <v>21.62</v>
      </c>
      <c r="T97" s="476">
        <f t="shared" si="64"/>
        <v>45142.560000000005</v>
      </c>
      <c r="U97" t="s">
        <v>101</v>
      </c>
      <c r="V97" s="142">
        <f t="shared" si="51"/>
        <v>0</v>
      </c>
      <c r="W97" s="142">
        <f t="shared" si="52"/>
        <v>0</v>
      </c>
      <c r="X97" s="1076"/>
    </row>
    <row r="98" spans="1:24" x14ac:dyDescent="0.2">
      <c r="A98" t="s">
        <v>102</v>
      </c>
      <c r="B98" s="476">
        <f t="shared" si="60"/>
        <v>47188.800000000003</v>
      </c>
      <c r="C98" s="476">
        <f t="shared" si="60"/>
        <v>1966.2</v>
      </c>
      <c r="D98" s="9" t="s">
        <v>95</v>
      </c>
      <c r="E98" s="10">
        <v>8</v>
      </c>
      <c r="F98" s="476">
        <f t="shared" si="46"/>
        <v>47188.800000000003</v>
      </c>
      <c r="G98" s="476">
        <f t="shared" si="47"/>
        <v>1966.2</v>
      </c>
      <c r="H98">
        <f t="shared" si="61"/>
        <v>49151.519999999997</v>
      </c>
      <c r="I98">
        <f t="shared" si="62"/>
        <v>2047.9799999999998</v>
      </c>
      <c r="L98" t="s">
        <v>102</v>
      </c>
      <c r="M98" s="142">
        <f t="shared" si="63"/>
        <v>22.6</v>
      </c>
      <c r="N98" s="476">
        <f t="shared" si="53"/>
        <v>0</v>
      </c>
      <c r="O98" s="142">
        <f t="shared" si="48"/>
        <v>22.6</v>
      </c>
      <c r="P98" s="476">
        <f t="shared" si="49"/>
        <v>47188.800000000003</v>
      </c>
      <c r="Q98" s="476"/>
      <c r="R98" s="476">
        <f t="shared" si="59"/>
        <v>0</v>
      </c>
      <c r="S98" s="476">
        <f t="shared" si="50"/>
        <v>22.6</v>
      </c>
      <c r="T98" s="476">
        <f t="shared" si="64"/>
        <v>47188.800000000003</v>
      </c>
      <c r="U98" t="s">
        <v>102</v>
      </c>
      <c r="V98" s="142">
        <f t="shared" si="51"/>
        <v>0</v>
      </c>
      <c r="W98" s="142">
        <f t="shared" si="52"/>
        <v>0</v>
      </c>
      <c r="X98" s="1076"/>
    </row>
    <row r="99" spans="1:24" x14ac:dyDescent="0.2">
      <c r="A99" t="s">
        <v>258</v>
      </c>
      <c r="B99" s="478">
        <f t="shared" si="60"/>
        <v>49151.519999999997</v>
      </c>
      <c r="C99" s="478">
        <f t="shared" si="60"/>
        <v>2047.9799999999998</v>
      </c>
      <c r="D99" s="9">
        <v>26</v>
      </c>
      <c r="E99" s="10">
        <v>9</v>
      </c>
      <c r="F99" s="476">
        <f t="shared" si="46"/>
        <v>49151.519999999997</v>
      </c>
      <c r="G99" s="476">
        <f t="shared" si="47"/>
        <v>2047.9799999999998</v>
      </c>
      <c r="H99">
        <f t="shared" si="61"/>
        <v>51281.279999999999</v>
      </c>
      <c r="I99">
        <f t="shared" si="62"/>
        <v>2136.7199999999998</v>
      </c>
      <c r="L99" t="s">
        <v>258</v>
      </c>
      <c r="M99" s="143">
        <f t="shared" si="63"/>
        <v>23.54</v>
      </c>
      <c r="N99" s="476">
        <f t="shared" si="53"/>
        <v>0</v>
      </c>
      <c r="O99" s="142">
        <f t="shared" si="48"/>
        <v>23.54</v>
      </c>
      <c r="P99" s="476">
        <f t="shared" si="49"/>
        <v>49151.519999999997</v>
      </c>
      <c r="Q99" s="476"/>
      <c r="R99" s="476">
        <f t="shared" si="59"/>
        <v>0</v>
      </c>
      <c r="S99" s="476">
        <f t="shared" si="50"/>
        <v>23.54</v>
      </c>
      <c r="T99" s="478">
        <f t="shared" si="64"/>
        <v>49151.519999999997</v>
      </c>
      <c r="U99" t="s">
        <v>258</v>
      </c>
      <c r="V99" s="142">
        <f t="shared" si="51"/>
        <v>0</v>
      </c>
      <c r="W99" s="142">
        <f t="shared" si="52"/>
        <v>0</v>
      </c>
      <c r="X99" s="1076"/>
    </row>
    <row r="100" spans="1:24" x14ac:dyDescent="0.2">
      <c r="A100" t="s">
        <v>294</v>
      </c>
      <c r="B100" s="477">
        <f>P100</f>
        <v>51281.279999999999</v>
      </c>
      <c r="C100" s="477">
        <f>B100/24</f>
        <v>2136.7199999999998</v>
      </c>
      <c r="D100" s="9">
        <v>26</v>
      </c>
      <c r="E100" s="10">
        <v>10</v>
      </c>
      <c r="F100" s="476">
        <f t="shared" si="46"/>
        <v>51281.279999999999</v>
      </c>
      <c r="G100" s="476">
        <f t="shared" si="47"/>
        <v>2136.7199999999998</v>
      </c>
      <c r="H100">
        <f>F100</f>
        <v>51281.279999999999</v>
      </c>
      <c r="I100">
        <f>G100</f>
        <v>2136.7199999999998</v>
      </c>
      <c r="L100" t="s">
        <v>294</v>
      </c>
      <c r="M100" s="612">
        <v>24.56</v>
      </c>
      <c r="N100" s="476">
        <f t="shared" si="53"/>
        <v>0</v>
      </c>
      <c r="O100" s="142">
        <f t="shared" si="48"/>
        <v>24.56</v>
      </c>
      <c r="P100" s="476">
        <f t="shared" si="49"/>
        <v>51281.279999999999</v>
      </c>
      <c r="Q100" s="476"/>
      <c r="R100" s="476">
        <f t="shared" si="59"/>
        <v>0</v>
      </c>
      <c r="S100" s="476">
        <f t="shared" si="50"/>
        <v>24.56</v>
      </c>
      <c r="T100" s="477">
        <f>S100*$T$9</f>
        <v>51281.279999999999</v>
      </c>
      <c r="U100" t="s">
        <v>294</v>
      </c>
      <c r="V100" s="142">
        <f t="shared" si="51"/>
        <v>0</v>
      </c>
      <c r="W100" s="142">
        <f t="shared" si="52"/>
        <v>0</v>
      </c>
      <c r="X100" s="1076"/>
    </row>
    <row r="101" spans="1:24" x14ac:dyDescent="0.2">
      <c r="A101" t="s">
        <v>103</v>
      </c>
      <c r="B101" s="476">
        <f t="shared" ref="B101:C109" si="65">B92</f>
        <v>36790.560000000005</v>
      </c>
      <c r="C101" s="476">
        <f t="shared" si="65"/>
        <v>1532.9400000000003</v>
      </c>
      <c r="D101" s="9" t="s">
        <v>104</v>
      </c>
      <c r="E101" s="10" t="s">
        <v>23</v>
      </c>
      <c r="F101" s="476">
        <f t="shared" si="46"/>
        <v>36790.560000000005</v>
      </c>
      <c r="G101" s="476">
        <f t="shared" si="47"/>
        <v>1532.9400000000003</v>
      </c>
      <c r="H101">
        <f t="shared" ref="H101:H109" si="66">F102</f>
        <v>38314.800000000003</v>
      </c>
      <c r="I101">
        <f t="shared" ref="I101:I109" si="67">G102</f>
        <v>1596.45</v>
      </c>
      <c r="L101" t="s">
        <v>103</v>
      </c>
      <c r="M101" s="142">
        <f t="shared" ref="M101:M109" si="68">M92</f>
        <v>17.62</v>
      </c>
      <c r="N101" s="476">
        <f t="shared" si="53"/>
        <v>0</v>
      </c>
      <c r="O101" s="142">
        <f t="shared" si="48"/>
        <v>17.62</v>
      </c>
      <c r="P101" s="476">
        <f t="shared" si="49"/>
        <v>36790.560000000005</v>
      </c>
      <c r="Q101" s="476"/>
      <c r="R101" s="476">
        <f t="shared" si="59"/>
        <v>0</v>
      </c>
      <c r="S101" s="476">
        <f t="shared" si="50"/>
        <v>17.62</v>
      </c>
      <c r="T101" s="476">
        <f t="shared" ref="T101:T109" si="69">T92</f>
        <v>36790.560000000005</v>
      </c>
      <c r="U101" t="s">
        <v>103</v>
      </c>
      <c r="V101" s="142">
        <f t="shared" si="51"/>
        <v>0</v>
      </c>
      <c r="W101" s="142">
        <f t="shared" si="52"/>
        <v>0</v>
      </c>
      <c r="X101" s="1076"/>
    </row>
    <row r="102" spans="1:24" x14ac:dyDescent="0.2">
      <c r="A102" t="s">
        <v>105</v>
      </c>
      <c r="B102" s="476">
        <f t="shared" si="65"/>
        <v>38314.800000000003</v>
      </c>
      <c r="C102" s="476">
        <f t="shared" si="65"/>
        <v>1596.45</v>
      </c>
      <c r="D102" s="9" t="s">
        <v>104</v>
      </c>
      <c r="E102" s="10">
        <v>2</v>
      </c>
      <c r="F102" s="476">
        <f t="shared" si="46"/>
        <v>38314.800000000003</v>
      </c>
      <c r="G102" s="476">
        <f t="shared" si="47"/>
        <v>1596.45</v>
      </c>
      <c r="H102">
        <f t="shared" si="66"/>
        <v>39943.439999999995</v>
      </c>
      <c r="I102">
        <f t="shared" si="67"/>
        <v>1664.3099999999997</v>
      </c>
      <c r="L102" t="s">
        <v>105</v>
      </c>
      <c r="M102" s="142">
        <f t="shared" si="68"/>
        <v>18.350000000000001</v>
      </c>
      <c r="N102" s="476">
        <f t="shared" si="53"/>
        <v>0</v>
      </c>
      <c r="O102" s="142">
        <f t="shared" si="48"/>
        <v>18.350000000000001</v>
      </c>
      <c r="P102" s="476">
        <f t="shared" si="49"/>
        <v>38314.800000000003</v>
      </c>
      <c r="Q102" s="476"/>
      <c r="R102" s="476">
        <f t="shared" si="59"/>
        <v>0</v>
      </c>
      <c r="S102" s="476">
        <f t="shared" si="50"/>
        <v>18.350000000000001</v>
      </c>
      <c r="T102" s="476">
        <f t="shared" si="69"/>
        <v>38314.800000000003</v>
      </c>
      <c r="U102" t="s">
        <v>105</v>
      </c>
      <c r="V102" s="142">
        <f t="shared" si="51"/>
        <v>0</v>
      </c>
      <c r="W102" s="142">
        <f t="shared" si="52"/>
        <v>0</v>
      </c>
      <c r="X102" s="1076"/>
    </row>
    <row r="103" spans="1:24" x14ac:dyDescent="0.2">
      <c r="A103" t="s">
        <v>106</v>
      </c>
      <c r="B103" s="476">
        <f t="shared" si="65"/>
        <v>39943.439999999995</v>
      </c>
      <c r="C103" s="476">
        <f t="shared" si="65"/>
        <v>1664.3099999999997</v>
      </c>
      <c r="D103" s="9" t="s">
        <v>104</v>
      </c>
      <c r="E103" s="10">
        <v>3</v>
      </c>
      <c r="F103" s="476">
        <f t="shared" si="46"/>
        <v>39943.439999999995</v>
      </c>
      <c r="G103" s="476">
        <f t="shared" si="47"/>
        <v>1664.3099999999997</v>
      </c>
      <c r="H103">
        <f t="shared" si="66"/>
        <v>41572.080000000002</v>
      </c>
      <c r="I103">
        <f t="shared" si="67"/>
        <v>1732.17</v>
      </c>
      <c r="L103" t="s">
        <v>106</v>
      </c>
      <c r="M103" s="142">
        <f t="shared" si="68"/>
        <v>19.13</v>
      </c>
      <c r="N103" s="476">
        <f t="shared" si="53"/>
        <v>0</v>
      </c>
      <c r="O103" s="142">
        <f t="shared" si="48"/>
        <v>19.13</v>
      </c>
      <c r="P103" s="476">
        <f t="shared" si="49"/>
        <v>39943.439999999995</v>
      </c>
      <c r="Q103" s="476"/>
      <c r="R103" s="476">
        <f t="shared" si="59"/>
        <v>0</v>
      </c>
      <c r="S103" s="476">
        <f t="shared" si="50"/>
        <v>19.13</v>
      </c>
      <c r="T103" s="476">
        <f t="shared" si="69"/>
        <v>39943.439999999995</v>
      </c>
      <c r="U103" t="s">
        <v>106</v>
      </c>
      <c r="V103" s="142">
        <f t="shared" si="51"/>
        <v>0</v>
      </c>
      <c r="W103" s="142">
        <f t="shared" si="52"/>
        <v>0</v>
      </c>
      <c r="X103" s="1076"/>
    </row>
    <row r="104" spans="1:24" x14ac:dyDescent="0.2">
      <c r="A104" t="s">
        <v>107</v>
      </c>
      <c r="B104" s="476">
        <f t="shared" si="65"/>
        <v>41572.080000000002</v>
      </c>
      <c r="C104" s="476">
        <f t="shared" si="65"/>
        <v>1732.17</v>
      </c>
      <c r="D104" s="9" t="s">
        <v>104</v>
      </c>
      <c r="E104" s="10">
        <v>4</v>
      </c>
      <c r="F104" s="476">
        <f t="shared" si="46"/>
        <v>41572.080000000002</v>
      </c>
      <c r="G104" s="476">
        <f t="shared" si="47"/>
        <v>1732.17</v>
      </c>
      <c r="H104">
        <f t="shared" si="66"/>
        <v>43346.880000000005</v>
      </c>
      <c r="I104">
        <f t="shared" si="67"/>
        <v>1806.1200000000001</v>
      </c>
      <c r="L104" t="s">
        <v>107</v>
      </c>
      <c r="M104" s="142">
        <f t="shared" si="68"/>
        <v>19.91</v>
      </c>
      <c r="N104" s="476">
        <f t="shared" si="53"/>
        <v>0</v>
      </c>
      <c r="O104" s="142">
        <f t="shared" si="48"/>
        <v>19.91</v>
      </c>
      <c r="P104" s="476">
        <f t="shared" si="49"/>
        <v>41572.080000000002</v>
      </c>
      <c r="Q104" s="476"/>
      <c r="R104" s="476">
        <f t="shared" si="59"/>
        <v>0</v>
      </c>
      <c r="S104" s="476">
        <f t="shared" si="50"/>
        <v>19.91</v>
      </c>
      <c r="T104" s="476">
        <f t="shared" si="69"/>
        <v>41572.080000000002</v>
      </c>
      <c r="U104" t="s">
        <v>107</v>
      </c>
      <c r="V104" s="142">
        <f t="shared" si="51"/>
        <v>0</v>
      </c>
      <c r="W104" s="142">
        <f t="shared" si="52"/>
        <v>0</v>
      </c>
      <c r="X104" s="1076"/>
    </row>
    <row r="105" spans="1:24" x14ac:dyDescent="0.2">
      <c r="A105" t="s">
        <v>108</v>
      </c>
      <c r="B105" s="476">
        <f t="shared" si="65"/>
        <v>43346.880000000005</v>
      </c>
      <c r="C105" s="476">
        <f t="shared" si="65"/>
        <v>1806.1200000000001</v>
      </c>
      <c r="D105" s="9" t="s">
        <v>104</v>
      </c>
      <c r="E105" s="10">
        <v>5</v>
      </c>
      <c r="F105" s="476">
        <f t="shared" si="46"/>
        <v>43346.880000000005</v>
      </c>
      <c r="G105" s="476">
        <f t="shared" si="47"/>
        <v>1806.1200000000001</v>
      </c>
      <c r="H105">
        <f t="shared" si="66"/>
        <v>45142.560000000005</v>
      </c>
      <c r="I105">
        <f t="shared" si="67"/>
        <v>1880.9400000000003</v>
      </c>
      <c r="L105" t="s">
        <v>108</v>
      </c>
      <c r="M105" s="142">
        <f t="shared" si="68"/>
        <v>20.76</v>
      </c>
      <c r="N105" s="476">
        <f t="shared" si="53"/>
        <v>0</v>
      </c>
      <c r="O105" s="142">
        <f t="shared" si="48"/>
        <v>20.76</v>
      </c>
      <c r="P105" s="476">
        <f t="shared" si="49"/>
        <v>43346.880000000005</v>
      </c>
      <c r="Q105" s="476"/>
      <c r="R105" s="476">
        <f t="shared" si="59"/>
        <v>0</v>
      </c>
      <c r="S105" s="476">
        <f t="shared" si="50"/>
        <v>20.76</v>
      </c>
      <c r="T105" s="476">
        <f t="shared" si="69"/>
        <v>43346.880000000005</v>
      </c>
      <c r="U105" t="s">
        <v>108</v>
      </c>
      <c r="V105" s="142">
        <f t="shared" si="51"/>
        <v>0</v>
      </c>
      <c r="W105" s="142">
        <f t="shared" si="52"/>
        <v>0</v>
      </c>
      <c r="X105" s="1076"/>
    </row>
    <row r="106" spans="1:24" x14ac:dyDescent="0.2">
      <c r="A106" t="s">
        <v>109</v>
      </c>
      <c r="B106" s="476">
        <f t="shared" si="65"/>
        <v>45142.560000000005</v>
      </c>
      <c r="C106" s="476">
        <f t="shared" si="65"/>
        <v>1880.9400000000003</v>
      </c>
      <c r="D106" s="9" t="s">
        <v>104</v>
      </c>
      <c r="E106" s="10">
        <v>6</v>
      </c>
      <c r="F106" s="476">
        <f t="shared" si="46"/>
        <v>45142.560000000005</v>
      </c>
      <c r="G106" s="476">
        <f t="shared" si="47"/>
        <v>1880.9400000000003</v>
      </c>
      <c r="H106">
        <f t="shared" si="66"/>
        <v>47188.800000000003</v>
      </c>
      <c r="I106">
        <f t="shared" si="67"/>
        <v>1966.2</v>
      </c>
      <c r="L106" t="s">
        <v>109</v>
      </c>
      <c r="M106" s="142">
        <f t="shared" si="68"/>
        <v>21.62</v>
      </c>
      <c r="N106" s="476">
        <f t="shared" si="53"/>
        <v>0</v>
      </c>
      <c r="O106" s="142">
        <f t="shared" si="48"/>
        <v>21.62</v>
      </c>
      <c r="P106" s="476">
        <f t="shared" si="49"/>
        <v>45142.560000000005</v>
      </c>
      <c r="Q106" s="476"/>
      <c r="R106" s="476">
        <f t="shared" si="59"/>
        <v>0</v>
      </c>
      <c r="S106" s="476">
        <f t="shared" si="50"/>
        <v>21.62</v>
      </c>
      <c r="T106" s="476">
        <f t="shared" si="69"/>
        <v>45142.560000000005</v>
      </c>
      <c r="U106" t="s">
        <v>109</v>
      </c>
      <c r="V106" s="142">
        <f t="shared" si="51"/>
        <v>0</v>
      </c>
      <c r="W106" s="142">
        <f t="shared" si="52"/>
        <v>0</v>
      </c>
      <c r="X106" s="1076"/>
    </row>
    <row r="107" spans="1:24" x14ac:dyDescent="0.2">
      <c r="A107" t="s">
        <v>110</v>
      </c>
      <c r="B107" s="476">
        <f t="shared" si="65"/>
        <v>47188.800000000003</v>
      </c>
      <c r="C107" s="476">
        <f t="shared" si="65"/>
        <v>1966.2</v>
      </c>
      <c r="D107" s="9" t="s">
        <v>104</v>
      </c>
      <c r="E107" s="10">
        <v>7</v>
      </c>
      <c r="F107" s="476">
        <f t="shared" si="46"/>
        <v>47188.800000000003</v>
      </c>
      <c r="G107" s="476">
        <f t="shared" si="47"/>
        <v>1966.2</v>
      </c>
      <c r="H107">
        <f t="shared" si="66"/>
        <v>49151.519999999997</v>
      </c>
      <c r="I107">
        <f t="shared" si="67"/>
        <v>2047.9799999999998</v>
      </c>
      <c r="L107" t="s">
        <v>110</v>
      </c>
      <c r="M107" s="142">
        <f t="shared" si="68"/>
        <v>22.6</v>
      </c>
      <c r="N107" s="476">
        <f t="shared" si="53"/>
        <v>0</v>
      </c>
      <c r="O107" s="142">
        <f t="shared" si="48"/>
        <v>22.6</v>
      </c>
      <c r="P107" s="476">
        <f t="shared" si="49"/>
        <v>47188.800000000003</v>
      </c>
      <c r="Q107" s="476"/>
      <c r="R107" s="476">
        <f t="shared" si="59"/>
        <v>0</v>
      </c>
      <c r="S107" s="476">
        <f t="shared" si="50"/>
        <v>22.6</v>
      </c>
      <c r="T107" s="476">
        <f t="shared" si="69"/>
        <v>47188.800000000003</v>
      </c>
      <c r="U107" t="s">
        <v>110</v>
      </c>
      <c r="V107" s="142">
        <f t="shared" ref="V107:V119" si="70">R107*2088</f>
        <v>0</v>
      </c>
      <c r="W107" s="142">
        <f t="shared" si="52"/>
        <v>0</v>
      </c>
      <c r="X107" s="1076"/>
    </row>
    <row r="108" spans="1:24" x14ac:dyDescent="0.2">
      <c r="A108" t="s">
        <v>111</v>
      </c>
      <c r="B108" s="476">
        <f t="shared" si="65"/>
        <v>49151.519999999997</v>
      </c>
      <c r="C108" s="476">
        <f t="shared" si="65"/>
        <v>2047.9799999999998</v>
      </c>
      <c r="D108" s="9" t="s">
        <v>104</v>
      </c>
      <c r="E108" s="10">
        <v>8</v>
      </c>
      <c r="F108" s="476">
        <f t="shared" si="46"/>
        <v>49151.519999999997</v>
      </c>
      <c r="G108" s="476">
        <f t="shared" si="47"/>
        <v>2047.9799999999998</v>
      </c>
      <c r="H108">
        <f t="shared" si="66"/>
        <v>51281.279999999999</v>
      </c>
      <c r="I108">
        <f t="shared" si="67"/>
        <v>2136.7199999999998</v>
      </c>
      <c r="L108" t="s">
        <v>111</v>
      </c>
      <c r="M108" s="142">
        <f t="shared" si="68"/>
        <v>23.54</v>
      </c>
      <c r="N108" s="476">
        <f t="shared" si="53"/>
        <v>0</v>
      </c>
      <c r="O108" s="142">
        <f t="shared" si="48"/>
        <v>23.54</v>
      </c>
      <c r="P108" s="476">
        <f t="shared" si="49"/>
        <v>49151.519999999997</v>
      </c>
      <c r="Q108" s="476"/>
      <c r="R108" s="476">
        <f t="shared" si="59"/>
        <v>0</v>
      </c>
      <c r="S108" s="476">
        <f t="shared" si="50"/>
        <v>23.54</v>
      </c>
      <c r="T108" s="476">
        <f t="shared" si="69"/>
        <v>49151.519999999997</v>
      </c>
      <c r="U108" t="s">
        <v>111</v>
      </c>
      <c r="V108" s="142">
        <f t="shared" si="70"/>
        <v>0</v>
      </c>
      <c r="W108" s="142">
        <f t="shared" si="52"/>
        <v>0</v>
      </c>
      <c r="X108" s="1076"/>
    </row>
    <row r="109" spans="1:24" x14ac:dyDescent="0.2">
      <c r="A109" t="s">
        <v>259</v>
      </c>
      <c r="B109" s="478">
        <f t="shared" si="65"/>
        <v>51281.279999999999</v>
      </c>
      <c r="C109" s="478">
        <f t="shared" si="65"/>
        <v>2136.7199999999998</v>
      </c>
      <c r="D109" s="9">
        <v>27</v>
      </c>
      <c r="E109" s="10">
        <v>9</v>
      </c>
      <c r="F109" s="476">
        <f t="shared" si="46"/>
        <v>51281.279999999999</v>
      </c>
      <c r="G109" s="476">
        <f t="shared" si="47"/>
        <v>2136.7199999999998</v>
      </c>
      <c r="H109">
        <f t="shared" si="66"/>
        <v>53598.960000000006</v>
      </c>
      <c r="I109">
        <f t="shared" si="67"/>
        <v>2233.2900000000004</v>
      </c>
      <c r="L109" t="s">
        <v>259</v>
      </c>
      <c r="M109" s="143">
        <f t="shared" si="68"/>
        <v>24.56</v>
      </c>
      <c r="N109" s="476">
        <f t="shared" si="53"/>
        <v>0</v>
      </c>
      <c r="O109" s="142">
        <f t="shared" si="48"/>
        <v>24.56</v>
      </c>
      <c r="P109" s="476">
        <f t="shared" si="49"/>
        <v>51281.279999999999</v>
      </c>
      <c r="Q109" s="476"/>
      <c r="R109" s="476">
        <f t="shared" si="59"/>
        <v>0</v>
      </c>
      <c r="S109" s="476">
        <f t="shared" si="50"/>
        <v>24.56</v>
      </c>
      <c r="T109" s="478">
        <f t="shared" si="69"/>
        <v>51281.279999999999</v>
      </c>
      <c r="U109" t="s">
        <v>259</v>
      </c>
      <c r="V109" s="142">
        <f t="shared" si="70"/>
        <v>0</v>
      </c>
      <c r="W109" s="142">
        <f t="shared" si="52"/>
        <v>0</v>
      </c>
      <c r="X109" s="1076"/>
    </row>
    <row r="110" spans="1:24" x14ac:dyDescent="0.2">
      <c r="A110" t="s">
        <v>295</v>
      </c>
      <c r="B110" s="477">
        <f>P110</f>
        <v>53598.960000000006</v>
      </c>
      <c r="C110" s="477">
        <f>B110/24</f>
        <v>2233.2900000000004</v>
      </c>
      <c r="D110" s="9">
        <v>27</v>
      </c>
      <c r="E110" s="10">
        <v>10</v>
      </c>
      <c r="F110" s="476">
        <f t="shared" si="46"/>
        <v>53598.960000000006</v>
      </c>
      <c r="G110" s="476">
        <f t="shared" si="47"/>
        <v>2233.2900000000004</v>
      </c>
      <c r="H110">
        <f>F110</f>
        <v>53598.960000000006</v>
      </c>
      <c r="I110">
        <f>G110</f>
        <v>2233.2900000000004</v>
      </c>
      <c r="L110" t="s">
        <v>295</v>
      </c>
      <c r="M110" s="612">
        <v>25.67</v>
      </c>
      <c r="N110" s="476">
        <f t="shared" si="53"/>
        <v>0</v>
      </c>
      <c r="O110" s="142">
        <f t="shared" si="48"/>
        <v>25.67</v>
      </c>
      <c r="P110" s="476">
        <f t="shared" si="49"/>
        <v>53598.960000000006</v>
      </c>
      <c r="Q110" s="476"/>
      <c r="R110" s="476">
        <f t="shared" si="59"/>
        <v>0</v>
      </c>
      <c r="S110" s="476">
        <f t="shared" si="50"/>
        <v>25.67</v>
      </c>
      <c r="T110" s="477">
        <f>S110*$T$9</f>
        <v>53598.960000000006</v>
      </c>
      <c r="U110" t="s">
        <v>295</v>
      </c>
      <c r="V110" s="142">
        <f t="shared" si="70"/>
        <v>0</v>
      </c>
      <c r="W110" s="142">
        <f t="shared" si="52"/>
        <v>0</v>
      </c>
      <c r="X110" s="1076"/>
    </row>
    <row r="111" spans="1:24" x14ac:dyDescent="0.2">
      <c r="A111" t="s">
        <v>112</v>
      </c>
      <c r="B111" s="476">
        <f t="shared" ref="B111:C119" si="71">B102</f>
        <v>38314.800000000003</v>
      </c>
      <c r="C111" s="476">
        <f t="shared" si="71"/>
        <v>1596.45</v>
      </c>
      <c r="D111" s="9" t="s">
        <v>113</v>
      </c>
      <c r="E111" s="10" t="s">
        <v>23</v>
      </c>
      <c r="F111" s="476">
        <f t="shared" si="46"/>
        <v>38314.800000000003</v>
      </c>
      <c r="G111" s="476">
        <f t="shared" si="47"/>
        <v>1596.45</v>
      </c>
      <c r="H111">
        <f t="shared" ref="H111:H119" si="72">F112</f>
        <v>39943.439999999995</v>
      </c>
      <c r="I111">
        <f t="shared" ref="I111:I119" si="73">G112</f>
        <v>1664.3099999999997</v>
      </c>
      <c r="L111" t="s">
        <v>112</v>
      </c>
      <c r="M111" s="142">
        <f t="shared" ref="M111:M119" si="74">M102</f>
        <v>18.350000000000001</v>
      </c>
      <c r="N111" s="476">
        <f t="shared" si="53"/>
        <v>0</v>
      </c>
      <c r="O111" s="142">
        <f t="shared" si="48"/>
        <v>18.350000000000001</v>
      </c>
      <c r="P111" s="476">
        <f t="shared" si="49"/>
        <v>38314.800000000003</v>
      </c>
      <c r="Q111" s="476"/>
      <c r="R111" s="476">
        <f t="shared" si="59"/>
        <v>0</v>
      </c>
      <c r="S111" s="476">
        <f t="shared" si="50"/>
        <v>18.350000000000001</v>
      </c>
      <c r="T111" s="476">
        <f t="shared" ref="T111:T119" si="75">T102</f>
        <v>38314.800000000003</v>
      </c>
      <c r="U111" t="s">
        <v>112</v>
      </c>
      <c r="V111" s="142">
        <f t="shared" si="70"/>
        <v>0</v>
      </c>
      <c r="W111" s="142">
        <f t="shared" si="52"/>
        <v>0</v>
      </c>
      <c r="X111" s="1076"/>
    </row>
    <row r="112" spans="1:24" x14ac:dyDescent="0.2">
      <c r="A112" t="s">
        <v>114</v>
      </c>
      <c r="B112" s="476">
        <f t="shared" si="71"/>
        <v>39943.439999999995</v>
      </c>
      <c r="C112" s="476">
        <f t="shared" si="71"/>
        <v>1664.3099999999997</v>
      </c>
      <c r="D112" s="9" t="s">
        <v>113</v>
      </c>
      <c r="E112" s="10">
        <v>2</v>
      </c>
      <c r="F112" s="476">
        <f t="shared" si="46"/>
        <v>39943.439999999995</v>
      </c>
      <c r="G112" s="476">
        <f t="shared" si="47"/>
        <v>1664.3099999999997</v>
      </c>
      <c r="H112">
        <f t="shared" si="72"/>
        <v>41572.080000000002</v>
      </c>
      <c r="I112">
        <f t="shared" si="73"/>
        <v>1732.17</v>
      </c>
      <c r="L112" t="s">
        <v>114</v>
      </c>
      <c r="M112" s="142">
        <f t="shared" si="74"/>
        <v>19.13</v>
      </c>
      <c r="N112" s="476">
        <f t="shared" si="53"/>
        <v>0</v>
      </c>
      <c r="O112" s="142">
        <f t="shared" si="48"/>
        <v>19.13</v>
      </c>
      <c r="P112" s="476">
        <f t="shared" si="49"/>
        <v>39943.439999999995</v>
      </c>
      <c r="Q112" s="476"/>
      <c r="R112" s="476">
        <f t="shared" si="59"/>
        <v>0</v>
      </c>
      <c r="S112" s="476">
        <f t="shared" si="50"/>
        <v>19.13</v>
      </c>
      <c r="T112" s="476">
        <f t="shared" si="75"/>
        <v>39943.439999999995</v>
      </c>
      <c r="U112" t="s">
        <v>114</v>
      </c>
      <c r="V112" s="142">
        <f t="shared" si="70"/>
        <v>0</v>
      </c>
      <c r="W112" s="142">
        <f t="shared" si="52"/>
        <v>0</v>
      </c>
      <c r="X112" s="1076"/>
    </row>
    <row r="113" spans="1:24" x14ac:dyDescent="0.2">
      <c r="A113" t="s">
        <v>115</v>
      </c>
      <c r="B113" s="476">
        <f t="shared" si="71"/>
        <v>41572.080000000002</v>
      </c>
      <c r="C113" s="476">
        <f t="shared" si="71"/>
        <v>1732.17</v>
      </c>
      <c r="D113" s="9" t="s">
        <v>113</v>
      </c>
      <c r="E113" s="10">
        <v>3</v>
      </c>
      <c r="F113" s="476">
        <f t="shared" si="46"/>
        <v>41572.080000000002</v>
      </c>
      <c r="G113" s="476">
        <f t="shared" si="47"/>
        <v>1732.17</v>
      </c>
      <c r="H113">
        <f t="shared" si="72"/>
        <v>43346.880000000005</v>
      </c>
      <c r="I113">
        <f t="shared" si="73"/>
        <v>1806.1200000000001</v>
      </c>
      <c r="L113" t="s">
        <v>115</v>
      </c>
      <c r="M113" s="142">
        <f t="shared" si="74"/>
        <v>19.91</v>
      </c>
      <c r="N113" s="476">
        <f t="shared" si="53"/>
        <v>0</v>
      </c>
      <c r="O113" s="142">
        <f t="shared" si="48"/>
        <v>19.91</v>
      </c>
      <c r="P113" s="476">
        <f t="shared" si="49"/>
        <v>41572.080000000002</v>
      </c>
      <c r="Q113" s="476"/>
      <c r="R113" s="476">
        <f t="shared" si="59"/>
        <v>0</v>
      </c>
      <c r="S113" s="476">
        <f t="shared" si="50"/>
        <v>19.91</v>
      </c>
      <c r="T113" s="476">
        <f t="shared" si="75"/>
        <v>41572.080000000002</v>
      </c>
      <c r="U113" t="s">
        <v>115</v>
      </c>
      <c r="V113" s="142">
        <f t="shared" si="70"/>
        <v>0</v>
      </c>
      <c r="W113" s="142">
        <f t="shared" si="52"/>
        <v>0</v>
      </c>
      <c r="X113" s="1076"/>
    </row>
    <row r="114" spans="1:24" x14ac:dyDescent="0.2">
      <c r="A114" t="s">
        <v>116</v>
      </c>
      <c r="B114" s="476">
        <f t="shared" si="71"/>
        <v>43346.880000000005</v>
      </c>
      <c r="C114" s="476">
        <f t="shared" si="71"/>
        <v>1806.1200000000001</v>
      </c>
      <c r="D114" s="9" t="s">
        <v>113</v>
      </c>
      <c r="E114" s="10">
        <v>4</v>
      </c>
      <c r="F114" s="476">
        <f t="shared" si="46"/>
        <v>43346.880000000005</v>
      </c>
      <c r="G114" s="476">
        <f t="shared" si="47"/>
        <v>1806.1200000000001</v>
      </c>
      <c r="H114">
        <f t="shared" si="72"/>
        <v>45142.560000000005</v>
      </c>
      <c r="I114">
        <f t="shared" si="73"/>
        <v>1880.9400000000003</v>
      </c>
      <c r="L114" t="s">
        <v>116</v>
      </c>
      <c r="M114" s="142">
        <f t="shared" si="74"/>
        <v>20.76</v>
      </c>
      <c r="N114" s="476">
        <f t="shared" si="53"/>
        <v>0</v>
      </c>
      <c r="O114" s="142">
        <f t="shared" si="48"/>
        <v>20.76</v>
      </c>
      <c r="P114" s="476">
        <f t="shared" si="49"/>
        <v>43346.880000000005</v>
      </c>
      <c r="Q114" s="476"/>
      <c r="R114" s="476">
        <f t="shared" si="59"/>
        <v>0</v>
      </c>
      <c r="S114" s="476">
        <f t="shared" si="50"/>
        <v>20.76</v>
      </c>
      <c r="T114" s="476">
        <f t="shared" si="75"/>
        <v>43346.880000000005</v>
      </c>
      <c r="U114" t="s">
        <v>116</v>
      </c>
      <c r="V114" s="142">
        <f t="shared" si="70"/>
        <v>0</v>
      </c>
      <c r="W114" s="142">
        <f t="shared" si="52"/>
        <v>0</v>
      </c>
      <c r="X114" s="1076"/>
    </row>
    <row r="115" spans="1:24" x14ac:dyDescent="0.2">
      <c r="A115" t="s">
        <v>117</v>
      </c>
      <c r="B115" s="476">
        <f t="shared" si="71"/>
        <v>45142.560000000005</v>
      </c>
      <c r="C115" s="476">
        <f t="shared" si="71"/>
        <v>1880.9400000000003</v>
      </c>
      <c r="D115" s="9" t="s">
        <v>113</v>
      </c>
      <c r="E115" s="10">
        <v>5</v>
      </c>
      <c r="F115" s="476">
        <f t="shared" si="46"/>
        <v>45142.560000000005</v>
      </c>
      <c r="G115" s="476">
        <f t="shared" si="47"/>
        <v>1880.9400000000003</v>
      </c>
      <c r="H115">
        <f t="shared" si="72"/>
        <v>47188.800000000003</v>
      </c>
      <c r="I115">
        <f t="shared" si="73"/>
        <v>1966.2</v>
      </c>
      <c r="L115" t="s">
        <v>117</v>
      </c>
      <c r="M115" s="142">
        <f t="shared" si="74"/>
        <v>21.62</v>
      </c>
      <c r="N115" s="476">
        <f t="shared" si="53"/>
        <v>0</v>
      </c>
      <c r="O115" s="142">
        <f t="shared" si="48"/>
        <v>21.62</v>
      </c>
      <c r="P115" s="476">
        <f t="shared" si="49"/>
        <v>45142.560000000005</v>
      </c>
      <c r="Q115" s="476"/>
      <c r="R115" s="476">
        <f t="shared" si="59"/>
        <v>0</v>
      </c>
      <c r="S115" s="476">
        <f t="shared" si="50"/>
        <v>21.62</v>
      </c>
      <c r="T115" s="476">
        <f t="shared" si="75"/>
        <v>45142.560000000005</v>
      </c>
      <c r="U115" t="s">
        <v>117</v>
      </c>
      <c r="V115" s="142">
        <f t="shared" si="70"/>
        <v>0</v>
      </c>
      <c r="W115" s="142">
        <f t="shared" si="52"/>
        <v>0</v>
      </c>
      <c r="X115" s="1076"/>
    </row>
    <row r="116" spans="1:24" x14ac:dyDescent="0.2">
      <c r="A116" t="s">
        <v>118</v>
      </c>
      <c r="B116" s="476">
        <f t="shared" si="71"/>
        <v>47188.800000000003</v>
      </c>
      <c r="C116" s="476">
        <f t="shared" si="71"/>
        <v>1966.2</v>
      </c>
      <c r="D116" s="9" t="s">
        <v>113</v>
      </c>
      <c r="E116" s="10">
        <v>6</v>
      </c>
      <c r="F116" s="476">
        <f t="shared" si="46"/>
        <v>47188.800000000003</v>
      </c>
      <c r="G116" s="476">
        <f t="shared" si="47"/>
        <v>1966.2</v>
      </c>
      <c r="H116">
        <f t="shared" si="72"/>
        <v>49151.519999999997</v>
      </c>
      <c r="I116">
        <f t="shared" si="73"/>
        <v>2047.9799999999998</v>
      </c>
      <c r="L116" t="s">
        <v>118</v>
      </c>
      <c r="M116" s="142">
        <f t="shared" si="74"/>
        <v>22.6</v>
      </c>
      <c r="N116" s="476">
        <f t="shared" si="53"/>
        <v>0</v>
      </c>
      <c r="O116" s="142">
        <f t="shared" si="48"/>
        <v>22.6</v>
      </c>
      <c r="P116" s="476">
        <f t="shared" si="49"/>
        <v>47188.800000000003</v>
      </c>
      <c r="Q116" s="476"/>
      <c r="R116" s="476">
        <f t="shared" si="59"/>
        <v>0</v>
      </c>
      <c r="S116" s="476">
        <f t="shared" si="50"/>
        <v>22.6</v>
      </c>
      <c r="T116" s="476">
        <f t="shared" si="75"/>
        <v>47188.800000000003</v>
      </c>
      <c r="U116" t="s">
        <v>118</v>
      </c>
      <c r="V116" s="142">
        <f t="shared" si="70"/>
        <v>0</v>
      </c>
      <c r="W116" s="142">
        <f t="shared" si="52"/>
        <v>0</v>
      </c>
      <c r="X116" s="1076"/>
    </row>
    <row r="117" spans="1:24" x14ac:dyDescent="0.2">
      <c r="A117" t="s">
        <v>119</v>
      </c>
      <c r="B117" s="476">
        <f t="shared" si="71"/>
        <v>49151.519999999997</v>
      </c>
      <c r="C117" s="476">
        <f t="shared" si="71"/>
        <v>2047.9799999999998</v>
      </c>
      <c r="D117" s="9" t="s">
        <v>113</v>
      </c>
      <c r="E117" s="10">
        <v>7</v>
      </c>
      <c r="F117" s="476">
        <f t="shared" si="46"/>
        <v>49151.519999999997</v>
      </c>
      <c r="G117" s="476">
        <f t="shared" si="47"/>
        <v>2047.9799999999998</v>
      </c>
      <c r="H117">
        <f t="shared" si="72"/>
        <v>51281.279999999999</v>
      </c>
      <c r="I117">
        <f t="shared" si="73"/>
        <v>2136.7199999999998</v>
      </c>
      <c r="L117" t="s">
        <v>119</v>
      </c>
      <c r="M117" s="142">
        <f t="shared" si="74"/>
        <v>23.54</v>
      </c>
      <c r="N117" s="476">
        <f t="shared" si="53"/>
        <v>0</v>
      </c>
      <c r="O117" s="142">
        <f t="shared" si="48"/>
        <v>23.54</v>
      </c>
      <c r="P117" s="476">
        <f t="shared" si="49"/>
        <v>49151.519999999997</v>
      </c>
      <c r="Q117" s="476"/>
      <c r="R117" s="476">
        <f t="shared" si="59"/>
        <v>0</v>
      </c>
      <c r="S117" s="476">
        <f t="shared" si="50"/>
        <v>23.54</v>
      </c>
      <c r="T117" s="476">
        <f t="shared" si="75"/>
        <v>49151.519999999997</v>
      </c>
      <c r="U117" t="s">
        <v>119</v>
      </c>
      <c r="V117" s="142">
        <f t="shared" si="70"/>
        <v>0</v>
      </c>
      <c r="W117" s="142">
        <f t="shared" si="52"/>
        <v>0</v>
      </c>
      <c r="X117" s="1076"/>
    </row>
    <row r="118" spans="1:24" x14ac:dyDescent="0.2">
      <c r="A118" t="s">
        <v>120</v>
      </c>
      <c r="B118" s="476">
        <f t="shared" si="71"/>
        <v>51281.279999999999</v>
      </c>
      <c r="C118" s="476">
        <f t="shared" si="71"/>
        <v>2136.7199999999998</v>
      </c>
      <c r="D118" s="9" t="s">
        <v>113</v>
      </c>
      <c r="E118" s="10">
        <v>8</v>
      </c>
      <c r="F118" s="476">
        <f t="shared" si="46"/>
        <v>51281.279999999999</v>
      </c>
      <c r="G118" s="476">
        <f t="shared" si="47"/>
        <v>2136.7199999999998</v>
      </c>
      <c r="H118">
        <f t="shared" si="72"/>
        <v>53598.960000000006</v>
      </c>
      <c r="I118">
        <f t="shared" si="73"/>
        <v>2233.2900000000004</v>
      </c>
      <c r="L118" t="s">
        <v>120</v>
      </c>
      <c r="M118" s="142">
        <f t="shared" si="74"/>
        <v>24.56</v>
      </c>
      <c r="N118" s="476">
        <f t="shared" si="53"/>
        <v>0</v>
      </c>
      <c r="O118" s="142">
        <f t="shared" si="48"/>
        <v>24.56</v>
      </c>
      <c r="P118" s="476">
        <f t="shared" si="49"/>
        <v>51281.279999999999</v>
      </c>
      <c r="Q118" s="476"/>
      <c r="R118" s="476">
        <f t="shared" si="59"/>
        <v>0</v>
      </c>
      <c r="S118" s="476">
        <f t="shared" si="50"/>
        <v>24.56</v>
      </c>
      <c r="T118" s="476">
        <f t="shared" si="75"/>
        <v>51281.279999999999</v>
      </c>
      <c r="U118" t="s">
        <v>120</v>
      </c>
      <c r="V118" s="142">
        <f t="shared" si="70"/>
        <v>0</v>
      </c>
      <c r="W118" s="142">
        <f t="shared" si="52"/>
        <v>0</v>
      </c>
      <c r="X118" s="1076"/>
    </row>
    <row r="119" spans="1:24" x14ac:dyDescent="0.2">
      <c r="A119" t="s">
        <v>260</v>
      </c>
      <c r="B119" s="478">
        <f t="shared" si="71"/>
        <v>53598.960000000006</v>
      </c>
      <c r="C119" s="478">
        <f t="shared" si="71"/>
        <v>2233.2900000000004</v>
      </c>
      <c r="D119" s="9">
        <v>28</v>
      </c>
      <c r="E119" s="10">
        <v>9</v>
      </c>
      <c r="F119" s="476">
        <f t="shared" si="46"/>
        <v>53598.960000000006</v>
      </c>
      <c r="G119" s="476">
        <f t="shared" si="47"/>
        <v>2233.2900000000004</v>
      </c>
      <c r="H119">
        <f t="shared" si="72"/>
        <v>55958.400000000001</v>
      </c>
      <c r="I119">
        <f t="shared" si="73"/>
        <v>2331.6</v>
      </c>
      <c r="L119" t="s">
        <v>260</v>
      </c>
      <c r="M119" s="143">
        <f t="shared" si="74"/>
        <v>25.67</v>
      </c>
      <c r="N119" s="476">
        <f t="shared" si="53"/>
        <v>0</v>
      </c>
      <c r="O119" s="142">
        <f t="shared" si="48"/>
        <v>25.67</v>
      </c>
      <c r="P119" s="476">
        <f t="shared" si="49"/>
        <v>53598.960000000006</v>
      </c>
      <c r="Q119" s="476"/>
      <c r="R119" s="476">
        <f t="shared" si="59"/>
        <v>0</v>
      </c>
      <c r="S119" s="476">
        <f t="shared" si="50"/>
        <v>25.67</v>
      </c>
      <c r="T119" s="478">
        <f t="shared" si="75"/>
        <v>53598.960000000006</v>
      </c>
      <c r="U119" t="s">
        <v>260</v>
      </c>
      <c r="V119" s="142">
        <f t="shared" si="70"/>
        <v>0</v>
      </c>
      <c r="W119" s="142">
        <f t="shared" si="52"/>
        <v>0</v>
      </c>
      <c r="X119" s="1076"/>
    </row>
    <row r="120" spans="1:24" x14ac:dyDescent="0.2">
      <c r="A120" t="s">
        <v>296</v>
      </c>
      <c r="B120" s="477">
        <f>P120</f>
        <v>55958.400000000001</v>
      </c>
      <c r="C120" s="477">
        <f>B120/24</f>
        <v>2331.6</v>
      </c>
      <c r="D120" s="9">
        <v>28</v>
      </c>
      <c r="E120" s="10">
        <v>10</v>
      </c>
      <c r="F120" s="476">
        <f t="shared" si="46"/>
        <v>55958.400000000001</v>
      </c>
      <c r="G120" s="476">
        <f t="shared" si="47"/>
        <v>2331.6</v>
      </c>
      <c r="H120">
        <f>F120</f>
        <v>55958.400000000001</v>
      </c>
      <c r="I120">
        <f>G120</f>
        <v>2331.6</v>
      </c>
      <c r="L120" t="s">
        <v>296</v>
      </c>
      <c r="M120" s="612">
        <v>26.8</v>
      </c>
      <c r="N120" s="476">
        <f t="shared" si="53"/>
        <v>0</v>
      </c>
      <c r="O120" s="142">
        <f t="shared" si="48"/>
        <v>26.8</v>
      </c>
      <c r="P120" s="476">
        <f t="shared" si="49"/>
        <v>55958.400000000001</v>
      </c>
      <c r="Q120" s="476"/>
      <c r="R120" s="476">
        <f t="shared" si="59"/>
        <v>0</v>
      </c>
      <c r="S120" s="476">
        <f t="shared" si="50"/>
        <v>26.8</v>
      </c>
      <c r="T120" s="471">
        <f>S120*$T$9+20.88</f>
        <v>55979.28</v>
      </c>
      <c r="U120" t="s">
        <v>296</v>
      </c>
      <c r="V120" s="471">
        <f>(+R120*2088)+20.88</f>
        <v>20.88</v>
      </c>
      <c r="W120" s="142">
        <f t="shared" si="52"/>
        <v>20.879999999997381</v>
      </c>
      <c r="X120" s="1076"/>
    </row>
    <row r="121" spans="1:24" x14ac:dyDescent="0.2">
      <c r="A121" t="s">
        <v>121</v>
      </c>
      <c r="B121" s="476">
        <f t="shared" ref="B121:C129" si="76">B112</f>
        <v>39943.439999999995</v>
      </c>
      <c r="C121" s="476">
        <f t="shared" si="76"/>
        <v>1664.3099999999997</v>
      </c>
      <c r="D121" s="9" t="s">
        <v>122</v>
      </c>
      <c r="E121" s="10" t="s">
        <v>23</v>
      </c>
      <c r="F121" s="476">
        <f t="shared" si="46"/>
        <v>39943.439999999995</v>
      </c>
      <c r="G121" s="476">
        <f t="shared" si="47"/>
        <v>1664.3099999999997</v>
      </c>
      <c r="H121">
        <f t="shared" ref="H121:H129" si="77">F122</f>
        <v>41572.080000000002</v>
      </c>
      <c r="I121">
        <f t="shared" ref="I121:I129" si="78">G122</f>
        <v>1732.17</v>
      </c>
      <c r="L121" t="s">
        <v>121</v>
      </c>
      <c r="M121" s="142">
        <f t="shared" ref="M121:M129" si="79">M112</f>
        <v>19.13</v>
      </c>
      <c r="N121" s="476">
        <f t="shared" si="53"/>
        <v>0</v>
      </c>
      <c r="O121" s="142">
        <f t="shared" si="48"/>
        <v>19.13</v>
      </c>
      <c r="P121" s="476">
        <f t="shared" si="49"/>
        <v>39943.439999999995</v>
      </c>
      <c r="Q121" s="476"/>
      <c r="R121" s="476">
        <f t="shared" si="59"/>
        <v>0</v>
      </c>
      <c r="S121" s="476">
        <f t="shared" si="50"/>
        <v>19.13</v>
      </c>
      <c r="T121" s="476">
        <f t="shared" ref="T121:T129" si="80">T112</f>
        <v>39943.439999999995</v>
      </c>
      <c r="U121" t="s">
        <v>121</v>
      </c>
      <c r="V121" s="476">
        <f t="shared" ref="V121:V129" si="81">V112</f>
        <v>0</v>
      </c>
      <c r="W121" s="142">
        <f t="shared" si="52"/>
        <v>0</v>
      </c>
      <c r="X121" s="1076"/>
    </row>
    <row r="122" spans="1:24" x14ac:dyDescent="0.2">
      <c r="A122" t="s">
        <v>123</v>
      </c>
      <c r="B122" s="476">
        <f t="shared" si="76"/>
        <v>41572.080000000002</v>
      </c>
      <c r="C122" s="476">
        <f t="shared" si="76"/>
        <v>1732.17</v>
      </c>
      <c r="D122" s="9" t="s">
        <v>122</v>
      </c>
      <c r="E122" s="10">
        <v>2</v>
      </c>
      <c r="F122" s="476">
        <f t="shared" si="46"/>
        <v>41572.080000000002</v>
      </c>
      <c r="G122" s="476">
        <f t="shared" si="47"/>
        <v>1732.17</v>
      </c>
      <c r="H122">
        <f t="shared" si="77"/>
        <v>43346.880000000005</v>
      </c>
      <c r="I122">
        <f t="shared" si="78"/>
        <v>1806.1200000000001</v>
      </c>
      <c r="L122" t="s">
        <v>123</v>
      </c>
      <c r="M122" s="142">
        <f t="shared" si="79"/>
        <v>19.91</v>
      </c>
      <c r="N122" s="476">
        <f t="shared" si="53"/>
        <v>0</v>
      </c>
      <c r="O122" s="142">
        <f t="shared" si="48"/>
        <v>19.91</v>
      </c>
      <c r="P122" s="476">
        <f t="shared" si="49"/>
        <v>41572.080000000002</v>
      </c>
      <c r="Q122" s="476"/>
      <c r="R122" s="476">
        <f t="shared" si="59"/>
        <v>0</v>
      </c>
      <c r="S122" s="476">
        <f t="shared" si="50"/>
        <v>19.91</v>
      </c>
      <c r="T122" s="476">
        <f t="shared" si="80"/>
        <v>41572.080000000002</v>
      </c>
      <c r="U122" t="s">
        <v>123</v>
      </c>
      <c r="V122" s="476">
        <f t="shared" si="81"/>
        <v>0</v>
      </c>
      <c r="W122" s="142">
        <f t="shared" si="52"/>
        <v>0</v>
      </c>
      <c r="X122" s="1076"/>
    </row>
    <row r="123" spans="1:24" x14ac:dyDescent="0.2">
      <c r="A123" t="s">
        <v>124</v>
      </c>
      <c r="B123" s="476">
        <f t="shared" si="76"/>
        <v>43346.880000000005</v>
      </c>
      <c r="C123" s="476">
        <f t="shared" si="76"/>
        <v>1806.1200000000001</v>
      </c>
      <c r="D123" s="9" t="s">
        <v>122</v>
      </c>
      <c r="E123" s="10">
        <v>3</v>
      </c>
      <c r="F123" s="476">
        <f t="shared" si="46"/>
        <v>43346.880000000005</v>
      </c>
      <c r="G123" s="476">
        <f t="shared" si="47"/>
        <v>1806.1200000000001</v>
      </c>
      <c r="H123">
        <f t="shared" si="77"/>
        <v>45142.560000000005</v>
      </c>
      <c r="I123">
        <f t="shared" si="78"/>
        <v>1880.9400000000003</v>
      </c>
      <c r="L123" t="s">
        <v>124</v>
      </c>
      <c r="M123" s="142">
        <f t="shared" si="79"/>
        <v>20.76</v>
      </c>
      <c r="N123" s="476">
        <f t="shared" si="53"/>
        <v>0</v>
      </c>
      <c r="O123" s="142">
        <f t="shared" si="48"/>
        <v>20.76</v>
      </c>
      <c r="P123" s="476">
        <f t="shared" si="49"/>
        <v>43346.880000000005</v>
      </c>
      <c r="Q123" s="476"/>
      <c r="R123" s="476">
        <f t="shared" si="59"/>
        <v>0</v>
      </c>
      <c r="S123" s="476">
        <f t="shared" si="50"/>
        <v>20.76</v>
      </c>
      <c r="T123" s="476">
        <f t="shared" si="80"/>
        <v>43346.880000000005</v>
      </c>
      <c r="U123" t="s">
        <v>124</v>
      </c>
      <c r="V123" s="476">
        <f t="shared" si="81"/>
        <v>0</v>
      </c>
      <c r="W123" s="142">
        <f t="shared" si="52"/>
        <v>0</v>
      </c>
      <c r="X123" s="1076"/>
    </row>
    <row r="124" spans="1:24" x14ac:dyDescent="0.2">
      <c r="A124" t="s">
        <v>125</v>
      </c>
      <c r="B124" s="476">
        <f t="shared" si="76"/>
        <v>45142.560000000005</v>
      </c>
      <c r="C124" s="476">
        <f t="shared" si="76"/>
        <v>1880.9400000000003</v>
      </c>
      <c r="D124" s="9" t="s">
        <v>122</v>
      </c>
      <c r="E124" s="10">
        <v>4</v>
      </c>
      <c r="F124" s="476">
        <f t="shared" si="46"/>
        <v>45142.560000000005</v>
      </c>
      <c r="G124" s="476">
        <f t="shared" si="47"/>
        <v>1880.9400000000003</v>
      </c>
      <c r="H124">
        <f t="shared" si="77"/>
        <v>47188.800000000003</v>
      </c>
      <c r="I124">
        <f t="shared" si="78"/>
        <v>1966.2</v>
      </c>
      <c r="L124" t="s">
        <v>125</v>
      </c>
      <c r="M124" s="142">
        <f t="shared" si="79"/>
        <v>21.62</v>
      </c>
      <c r="N124" s="476">
        <f t="shared" si="53"/>
        <v>0</v>
      </c>
      <c r="O124" s="142">
        <f t="shared" si="48"/>
        <v>21.62</v>
      </c>
      <c r="P124" s="476">
        <f t="shared" si="49"/>
        <v>45142.560000000005</v>
      </c>
      <c r="Q124" s="476"/>
      <c r="R124" s="476">
        <f t="shared" si="59"/>
        <v>0</v>
      </c>
      <c r="S124" s="476">
        <f t="shared" si="50"/>
        <v>21.62</v>
      </c>
      <c r="T124" s="476">
        <f t="shared" si="80"/>
        <v>45142.560000000005</v>
      </c>
      <c r="U124" t="s">
        <v>125</v>
      </c>
      <c r="V124" s="476">
        <f t="shared" si="81"/>
        <v>0</v>
      </c>
      <c r="W124" s="142">
        <f t="shared" si="52"/>
        <v>0</v>
      </c>
      <c r="X124" s="1076"/>
    </row>
    <row r="125" spans="1:24" x14ac:dyDescent="0.2">
      <c r="A125" t="s">
        <v>126</v>
      </c>
      <c r="B125" s="476">
        <f t="shared" si="76"/>
        <v>47188.800000000003</v>
      </c>
      <c r="C125" s="476">
        <f t="shared" si="76"/>
        <v>1966.2</v>
      </c>
      <c r="D125" s="9" t="s">
        <v>122</v>
      </c>
      <c r="E125" s="10">
        <v>5</v>
      </c>
      <c r="F125" s="476">
        <f t="shared" si="46"/>
        <v>47188.800000000003</v>
      </c>
      <c r="G125" s="476">
        <f t="shared" si="47"/>
        <v>1966.2</v>
      </c>
      <c r="H125">
        <f t="shared" si="77"/>
        <v>49151.519999999997</v>
      </c>
      <c r="I125">
        <f t="shared" si="78"/>
        <v>2047.9799999999998</v>
      </c>
      <c r="L125" t="s">
        <v>126</v>
      </c>
      <c r="M125" s="142">
        <f t="shared" si="79"/>
        <v>22.6</v>
      </c>
      <c r="N125" s="476">
        <f t="shared" si="53"/>
        <v>0</v>
      </c>
      <c r="O125" s="142">
        <f t="shared" si="48"/>
        <v>22.6</v>
      </c>
      <c r="P125" s="476">
        <f t="shared" si="49"/>
        <v>47188.800000000003</v>
      </c>
      <c r="Q125" s="476"/>
      <c r="R125" s="476">
        <f t="shared" si="59"/>
        <v>0</v>
      </c>
      <c r="S125" s="476">
        <f t="shared" si="50"/>
        <v>22.6</v>
      </c>
      <c r="T125" s="476">
        <f t="shared" si="80"/>
        <v>47188.800000000003</v>
      </c>
      <c r="U125" t="s">
        <v>126</v>
      </c>
      <c r="V125" s="476">
        <f t="shared" si="81"/>
        <v>0</v>
      </c>
      <c r="W125" s="142">
        <f t="shared" si="52"/>
        <v>0</v>
      </c>
      <c r="X125" s="1076"/>
    </row>
    <row r="126" spans="1:24" x14ac:dyDescent="0.2">
      <c r="A126" t="s">
        <v>127</v>
      </c>
      <c r="B126" s="476">
        <f t="shared" si="76"/>
        <v>49151.519999999997</v>
      </c>
      <c r="C126" s="476">
        <f t="shared" si="76"/>
        <v>2047.9799999999998</v>
      </c>
      <c r="D126" s="9" t="s">
        <v>122</v>
      </c>
      <c r="E126" s="10">
        <v>6</v>
      </c>
      <c r="F126" s="476">
        <f t="shared" si="46"/>
        <v>49151.519999999997</v>
      </c>
      <c r="G126" s="476">
        <f t="shared" si="47"/>
        <v>2047.9799999999998</v>
      </c>
      <c r="H126">
        <f t="shared" si="77"/>
        <v>51281.279999999999</v>
      </c>
      <c r="I126">
        <f t="shared" si="78"/>
        <v>2136.7199999999998</v>
      </c>
      <c r="L126" t="s">
        <v>127</v>
      </c>
      <c r="M126" s="142">
        <f t="shared" si="79"/>
        <v>23.54</v>
      </c>
      <c r="N126" s="476">
        <f t="shared" si="53"/>
        <v>0</v>
      </c>
      <c r="O126" s="142">
        <f t="shared" si="48"/>
        <v>23.54</v>
      </c>
      <c r="P126" s="476">
        <f t="shared" si="49"/>
        <v>49151.519999999997</v>
      </c>
      <c r="Q126" s="476"/>
      <c r="R126" s="476">
        <f t="shared" si="59"/>
        <v>0</v>
      </c>
      <c r="S126" s="476">
        <f t="shared" si="50"/>
        <v>23.54</v>
      </c>
      <c r="T126" s="476">
        <f t="shared" si="80"/>
        <v>49151.519999999997</v>
      </c>
      <c r="U126" t="s">
        <v>127</v>
      </c>
      <c r="V126" s="476">
        <f t="shared" si="81"/>
        <v>0</v>
      </c>
      <c r="W126" s="142">
        <f t="shared" si="52"/>
        <v>0</v>
      </c>
      <c r="X126" s="1076"/>
    </row>
    <row r="127" spans="1:24" x14ac:dyDescent="0.2">
      <c r="A127" t="s">
        <v>128</v>
      </c>
      <c r="B127" s="476">
        <f t="shared" si="76"/>
        <v>51281.279999999999</v>
      </c>
      <c r="C127" s="476">
        <f t="shared" si="76"/>
        <v>2136.7199999999998</v>
      </c>
      <c r="D127" s="9" t="s">
        <v>122</v>
      </c>
      <c r="E127" s="10">
        <v>7</v>
      </c>
      <c r="F127" s="476">
        <f t="shared" si="46"/>
        <v>51281.279999999999</v>
      </c>
      <c r="G127" s="476">
        <f t="shared" si="47"/>
        <v>2136.7199999999998</v>
      </c>
      <c r="H127">
        <f t="shared" si="77"/>
        <v>53598.960000000006</v>
      </c>
      <c r="I127">
        <f t="shared" si="78"/>
        <v>2233.2900000000004</v>
      </c>
      <c r="L127" t="s">
        <v>128</v>
      </c>
      <c r="M127" s="142">
        <f t="shared" si="79"/>
        <v>24.56</v>
      </c>
      <c r="N127" s="476">
        <f t="shared" si="53"/>
        <v>0</v>
      </c>
      <c r="O127" s="142">
        <f t="shared" si="48"/>
        <v>24.56</v>
      </c>
      <c r="P127" s="476">
        <f t="shared" si="49"/>
        <v>51281.279999999999</v>
      </c>
      <c r="Q127" s="476"/>
      <c r="R127" s="476">
        <f t="shared" si="59"/>
        <v>0</v>
      </c>
      <c r="S127" s="476">
        <f t="shared" si="50"/>
        <v>24.56</v>
      </c>
      <c r="T127" s="476">
        <f t="shared" si="80"/>
        <v>51281.279999999999</v>
      </c>
      <c r="U127" t="s">
        <v>128</v>
      </c>
      <c r="V127" s="476">
        <f t="shared" si="81"/>
        <v>0</v>
      </c>
      <c r="W127" s="142">
        <f t="shared" si="52"/>
        <v>0</v>
      </c>
      <c r="X127" s="1076"/>
    </row>
    <row r="128" spans="1:24" x14ac:dyDescent="0.2">
      <c r="A128" t="s">
        <v>129</v>
      </c>
      <c r="B128" s="476">
        <f t="shared" si="76"/>
        <v>53598.960000000006</v>
      </c>
      <c r="C128" s="476">
        <f t="shared" si="76"/>
        <v>2233.2900000000004</v>
      </c>
      <c r="D128" s="9" t="s">
        <v>122</v>
      </c>
      <c r="E128" s="10">
        <v>8</v>
      </c>
      <c r="F128" s="476">
        <f t="shared" si="46"/>
        <v>53598.960000000006</v>
      </c>
      <c r="G128" s="476">
        <f t="shared" si="47"/>
        <v>2233.2900000000004</v>
      </c>
      <c r="H128">
        <f t="shared" si="77"/>
        <v>55958.400000000001</v>
      </c>
      <c r="I128">
        <f t="shared" si="78"/>
        <v>2331.6</v>
      </c>
      <c r="L128" t="s">
        <v>129</v>
      </c>
      <c r="M128" s="142">
        <f t="shared" si="79"/>
        <v>25.67</v>
      </c>
      <c r="N128" s="476">
        <f t="shared" si="53"/>
        <v>0</v>
      </c>
      <c r="O128" s="142">
        <f t="shared" si="48"/>
        <v>25.67</v>
      </c>
      <c r="P128" s="476">
        <f t="shared" si="49"/>
        <v>53598.960000000006</v>
      </c>
      <c r="Q128" s="476"/>
      <c r="R128" s="476">
        <f t="shared" si="59"/>
        <v>0</v>
      </c>
      <c r="S128" s="476">
        <f t="shared" si="50"/>
        <v>25.67</v>
      </c>
      <c r="T128" s="476">
        <f t="shared" si="80"/>
        <v>53598.960000000006</v>
      </c>
      <c r="U128" t="s">
        <v>129</v>
      </c>
      <c r="V128" s="476">
        <f t="shared" si="81"/>
        <v>0</v>
      </c>
      <c r="W128" s="142">
        <f t="shared" si="52"/>
        <v>0</v>
      </c>
      <c r="X128" s="1076"/>
    </row>
    <row r="129" spans="1:24" x14ac:dyDescent="0.2">
      <c r="A129" t="s">
        <v>261</v>
      </c>
      <c r="B129" s="478">
        <f t="shared" si="76"/>
        <v>55958.400000000001</v>
      </c>
      <c r="C129" s="478">
        <f t="shared" si="76"/>
        <v>2331.6</v>
      </c>
      <c r="D129" s="9">
        <v>29</v>
      </c>
      <c r="E129" s="10">
        <v>9</v>
      </c>
      <c r="F129" s="476">
        <f t="shared" si="46"/>
        <v>55958.400000000001</v>
      </c>
      <c r="G129" s="476">
        <f t="shared" si="47"/>
        <v>2331.6</v>
      </c>
      <c r="H129">
        <f t="shared" si="77"/>
        <v>58380.480000000003</v>
      </c>
      <c r="I129">
        <f t="shared" si="78"/>
        <v>2432.52</v>
      </c>
      <c r="L129" t="s">
        <v>261</v>
      </c>
      <c r="M129" s="143">
        <f t="shared" si="79"/>
        <v>26.8</v>
      </c>
      <c r="N129" s="476">
        <f t="shared" si="53"/>
        <v>0</v>
      </c>
      <c r="O129" s="142">
        <f t="shared" si="48"/>
        <v>26.8</v>
      </c>
      <c r="P129" s="476">
        <f t="shared" si="49"/>
        <v>55958.400000000001</v>
      </c>
      <c r="Q129" s="476"/>
      <c r="R129" s="476">
        <f t="shared" si="59"/>
        <v>0</v>
      </c>
      <c r="S129" s="476">
        <f t="shared" si="50"/>
        <v>26.8</v>
      </c>
      <c r="T129" s="478">
        <f t="shared" si="80"/>
        <v>55979.28</v>
      </c>
      <c r="U129" t="s">
        <v>261</v>
      </c>
      <c r="V129" s="478">
        <f t="shared" si="81"/>
        <v>20.88</v>
      </c>
      <c r="W129" s="142">
        <f t="shared" si="52"/>
        <v>20.879999999997381</v>
      </c>
      <c r="X129" s="1076"/>
    </row>
    <row r="130" spans="1:24" x14ac:dyDescent="0.2">
      <c r="A130" t="s">
        <v>297</v>
      </c>
      <c r="B130" s="477">
        <f>P130</f>
        <v>58380.480000000003</v>
      </c>
      <c r="C130" s="477">
        <f>B130/24</f>
        <v>2432.52</v>
      </c>
      <c r="D130" s="9">
        <v>29</v>
      </c>
      <c r="E130" s="10">
        <v>10</v>
      </c>
      <c r="F130" s="476">
        <f t="shared" si="46"/>
        <v>58380.480000000003</v>
      </c>
      <c r="G130" s="476">
        <f t="shared" si="47"/>
        <v>2432.52</v>
      </c>
      <c r="H130">
        <f>F130</f>
        <v>58380.480000000003</v>
      </c>
      <c r="I130">
        <f>G130</f>
        <v>2432.52</v>
      </c>
      <c r="L130" t="s">
        <v>297</v>
      </c>
      <c r="M130" s="612">
        <v>27.96</v>
      </c>
      <c r="N130" s="476">
        <f t="shared" si="53"/>
        <v>0</v>
      </c>
      <c r="O130" s="142">
        <f t="shared" si="48"/>
        <v>27.96</v>
      </c>
      <c r="P130" s="476">
        <f t="shared" si="49"/>
        <v>58380.480000000003</v>
      </c>
      <c r="Q130" s="476"/>
      <c r="R130" s="476">
        <f t="shared" si="59"/>
        <v>0</v>
      </c>
      <c r="S130" s="476">
        <f t="shared" si="50"/>
        <v>27.96</v>
      </c>
      <c r="T130" s="477">
        <f>S130*$T$9</f>
        <v>58380.480000000003</v>
      </c>
      <c r="U130" t="s">
        <v>297</v>
      </c>
      <c r="V130" s="142">
        <f>R130*2088</f>
        <v>0</v>
      </c>
      <c r="W130" s="142">
        <f t="shared" si="52"/>
        <v>0</v>
      </c>
      <c r="X130" s="1076"/>
    </row>
    <row r="131" spans="1:24" x14ac:dyDescent="0.2">
      <c r="A131" t="s">
        <v>130</v>
      </c>
      <c r="B131" s="476">
        <f t="shared" ref="B131:C139" si="82">B122</f>
        <v>41572.080000000002</v>
      </c>
      <c r="C131" s="476">
        <f t="shared" si="82"/>
        <v>1732.17</v>
      </c>
      <c r="D131" s="9" t="s">
        <v>131</v>
      </c>
      <c r="E131" s="10" t="s">
        <v>23</v>
      </c>
      <c r="F131" s="476">
        <f t="shared" si="46"/>
        <v>41572.080000000002</v>
      </c>
      <c r="G131" s="476">
        <f t="shared" si="47"/>
        <v>1732.17</v>
      </c>
      <c r="H131">
        <f t="shared" ref="H131:H139" si="83">F132</f>
        <v>43346.880000000005</v>
      </c>
      <c r="I131">
        <f t="shared" ref="I131:I139" si="84">G132</f>
        <v>1806.1200000000001</v>
      </c>
      <c r="L131" t="s">
        <v>130</v>
      </c>
      <c r="M131" s="142">
        <f t="shared" ref="M131:M139" si="85">M122</f>
        <v>19.91</v>
      </c>
      <c r="N131" s="476">
        <f t="shared" si="53"/>
        <v>0</v>
      </c>
      <c r="O131" s="142">
        <f t="shared" si="48"/>
        <v>19.91</v>
      </c>
      <c r="P131" s="476">
        <f t="shared" si="49"/>
        <v>41572.080000000002</v>
      </c>
      <c r="Q131" s="476"/>
      <c r="R131" s="476">
        <f t="shared" si="59"/>
        <v>0</v>
      </c>
      <c r="S131" s="476">
        <f t="shared" si="50"/>
        <v>19.91</v>
      </c>
      <c r="T131" s="476">
        <f t="shared" ref="T131:T139" si="86">T122</f>
        <v>41572.080000000002</v>
      </c>
      <c r="U131" t="s">
        <v>130</v>
      </c>
      <c r="V131" s="476">
        <f t="shared" ref="V131:V139" si="87">V122</f>
        <v>0</v>
      </c>
      <c r="W131" s="142">
        <f t="shared" si="52"/>
        <v>0</v>
      </c>
      <c r="X131" s="1076"/>
    </row>
    <row r="132" spans="1:24" x14ac:dyDescent="0.2">
      <c r="A132" t="s">
        <v>132</v>
      </c>
      <c r="B132" s="476">
        <f t="shared" si="82"/>
        <v>43346.880000000005</v>
      </c>
      <c r="C132" s="476">
        <f t="shared" si="82"/>
        <v>1806.1200000000001</v>
      </c>
      <c r="D132" s="9" t="s">
        <v>131</v>
      </c>
      <c r="E132" s="10">
        <v>2</v>
      </c>
      <c r="F132" s="476">
        <f t="shared" si="46"/>
        <v>43346.880000000005</v>
      </c>
      <c r="G132" s="476">
        <f t="shared" si="47"/>
        <v>1806.1200000000001</v>
      </c>
      <c r="H132">
        <f t="shared" si="83"/>
        <v>45142.560000000005</v>
      </c>
      <c r="I132">
        <f t="shared" si="84"/>
        <v>1880.9400000000003</v>
      </c>
      <c r="L132" t="s">
        <v>132</v>
      </c>
      <c r="M132" s="142">
        <f t="shared" si="85"/>
        <v>20.76</v>
      </c>
      <c r="N132" s="476">
        <f t="shared" si="53"/>
        <v>0</v>
      </c>
      <c r="O132" s="142">
        <f t="shared" si="48"/>
        <v>20.76</v>
      </c>
      <c r="P132" s="476">
        <f t="shared" si="49"/>
        <v>43346.880000000005</v>
      </c>
      <c r="Q132" s="476"/>
      <c r="R132" s="476">
        <f t="shared" si="59"/>
        <v>0</v>
      </c>
      <c r="S132" s="476">
        <f t="shared" si="50"/>
        <v>20.76</v>
      </c>
      <c r="T132" s="476">
        <f t="shared" si="86"/>
        <v>43346.880000000005</v>
      </c>
      <c r="U132" t="s">
        <v>132</v>
      </c>
      <c r="V132" s="476">
        <f t="shared" si="87"/>
        <v>0</v>
      </c>
      <c r="W132" s="142">
        <f t="shared" si="52"/>
        <v>0</v>
      </c>
      <c r="X132" s="1076"/>
    </row>
    <row r="133" spans="1:24" x14ac:dyDescent="0.2">
      <c r="A133" t="s">
        <v>133</v>
      </c>
      <c r="B133" s="476">
        <f t="shared" si="82"/>
        <v>45142.560000000005</v>
      </c>
      <c r="C133" s="476">
        <f t="shared" si="82"/>
        <v>1880.9400000000003</v>
      </c>
      <c r="D133" s="9" t="s">
        <v>131</v>
      </c>
      <c r="E133" s="10">
        <v>3</v>
      </c>
      <c r="F133" s="476">
        <f t="shared" si="46"/>
        <v>45142.560000000005</v>
      </c>
      <c r="G133" s="476">
        <f t="shared" si="47"/>
        <v>1880.9400000000003</v>
      </c>
      <c r="H133">
        <f t="shared" si="83"/>
        <v>47188.800000000003</v>
      </c>
      <c r="I133">
        <f t="shared" si="84"/>
        <v>1966.2</v>
      </c>
      <c r="L133" t="s">
        <v>133</v>
      </c>
      <c r="M133" s="142">
        <f t="shared" si="85"/>
        <v>21.62</v>
      </c>
      <c r="N133" s="476">
        <f t="shared" si="53"/>
        <v>0</v>
      </c>
      <c r="O133" s="142">
        <f t="shared" si="48"/>
        <v>21.62</v>
      </c>
      <c r="P133" s="476">
        <f t="shared" si="49"/>
        <v>45142.560000000005</v>
      </c>
      <c r="Q133" s="476"/>
      <c r="R133" s="476">
        <f t="shared" si="59"/>
        <v>0</v>
      </c>
      <c r="S133" s="476">
        <f t="shared" si="50"/>
        <v>21.62</v>
      </c>
      <c r="T133" s="476">
        <f t="shared" si="86"/>
        <v>45142.560000000005</v>
      </c>
      <c r="U133" t="s">
        <v>133</v>
      </c>
      <c r="V133" s="476">
        <f t="shared" si="87"/>
        <v>0</v>
      </c>
      <c r="W133" s="142">
        <f t="shared" si="52"/>
        <v>0</v>
      </c>
      <c r="X133" s="1076"/>
    </row>
    <row r="134" spans="1:24" x14ac:dyDescent="0.2">
      <c r="A134" t="s">
        <v>134</v>
      </c>
      <c r="B134" s="476">
        <f t="shared" si="82"/>
        <v>47188.800000000003</v>
      </c>
      <c r="C134" s="476">
        <f t="shared" si="82"/>
        <v>1966.2</v>
      </c>
      <c r="D134" s="9" t="s">
        <v>131</v>
      </c>
      <c r="E134" s="10">
        <v>4</v>
      </c>
      <c r="F134" s="476">
        <f t="shared" si="46"/>
        <v>47188.800000000003</v>
      </c>
      <c r="G134" s="476">
        <f t="shared" si="47"/>
        <v>1966.2</v>
      </c>
      <c r="H134">
        <f t="shared" si="83"/>
        <v>49151.519999999997</v>
      </c>
      <c r="I134">
        <f t="shared" si="84"/>
        <v>2047.9799999999998</v>
      </c>
      <c r="L134" t="s">
        <v>134</v>
      </c>
      <c r="M134" s="142">
        <f t="shared" si="85"/>
        <v>22.6</v>
      </c>
      <c r="N134" s="476">
        <f t="shared" si="53"/>
        <v>0</v>
      </c>
      <c r="O134" s="142">
        <f t="shared" si="48"/>
        <v>22.6</v>
      </c>
      <c r="P134" s="476">
        <f t="shared" si="49"/>
        <v>47188.800000000003</v>
      </c>
      <c r="Q134" s="476"/>
      <c r="R134" s="476">
        <f t="shared" si="59"/>
        <v>0</v>
      </c>
      <c r="S134" s="476">
        <f t="shared" si="50"/>
        <v>22.6</v>
      </c>
      <c r="T134" s="476">
        <f t="shared" si="86"/>
        <v>47188.800000000003</v>
      </c>
      <c r="U134" t="s">
        <v>134</v>
      </c>
      <c r="V134" s="476">
        <f t="shared" si="87"/>
        <v>0</v>
      </c>
      <c r="W134" s="142">
        <f t="shared" si="52"/>
        <v>0</v>
      </c>
      <c r="X134" s="1076"/>
    </row>
    <row r="135" spans="1:24" x14ac:dyDescent="0.2">
      <c r="A135" t="s">
        <v>135</v>
      </c>
      <c r="B135" s="476">
        <f t="shared" si="82"/>
        <v>49151.519999999997</v>
      </c>
      <c r="C135" s="476">
        <f t="shared" si="82"/>
        <v>2047.9799999999998</v>
      </c>
      <c r="D135" s="9" t="s">
        <v>131</v>
      </c>
      <c r="E135" s="10">
        <v>5</v>
      </c>
      <c r="F135" s="476">
        <f t="shared" si="46"/>
        <v>49151.519999999997</v>
      </c>
      <c r="G135" s="476">
        <f t="shared" si="47"/>
        <v>2047.9799999999998</v>
      </c>
      <c r="H135">
        <f t="shared" si="83"/>
        <v>51281.279999999999</v>
      </c>
      <c r="I135">
        <f t="shared" si="84"/>
        <v>2136.7199999999998</v>
      </c>
      <c r="L135" t="s">
        <v>135</v>
      </c>
      <c r="M135" s="142">
        <f t="shared" si="85"/>
        <v>23.54</v>
      </c>
      <c r="N135" s="476">
        <f t="shared" si="53"/>
        <v>0</v>
      </c>
      <c r="O135" s="142">
        <f t="shared" si="48"/>
        <v>23.54</v>
      </c>
      <c r="P135" s="476">
        <f t="shared" si="49"/>
        <v>49151.519999999997</v>
      </c>
      <c r="Q135" s="476"/>
      <c r="R135" s="476">
        <f t="shared" si="59"/>
        <v>0</v>
      </c>
      <c r="S135" s="476">
        <f t="shared" si="50"/>
        <v>23.54</v>
      </c>
      <c r="T135" s="476">
        <f t="shared" si="86"/>
        <v>49151.519999999997</v>
      </c>
      <c r="U135" t="s">
        <v>135</v>
      </c>
      <c r="V135" s="476">
        <f t="shared" si="87"/>
        <v>0</v>
      </c>
      <c r="W135" s="142">
        <f t="shared" si="52"/>
        <v>0</v>
      </c>
      <c r="X135" s="1076"/>
    </row>
    <row r="136" spans="1:24" x14ac:dyDescent="0.2">
      <c r="A136" t="s">
        <v>136</v>
      </c>
      <c r="B136" s="476">
        <f t="shared" si="82"/>
        <v>51281.279999999999</v>
      </c>
      <c r="C136" s="476">
        <f t="shared" si="82"/>
        <v>2136.7199999999998</v>
      </c>
      <c r="D136" s="9" t="s">
        <v>131</v>
      </c>
      <c r="E136" s="10">
        <v>6</v>
      </c>
      <c r="F136" s="476">
        <f t="shared" si="46"/>
        <v>51281.279999999999</v>
      </c>
      <c r="G136" s="476">
        <f t="shared" si="47"/>
        <v>2136.7199999999998</v>
      </c>
      <c r="H136">
        <f t="shared" si="83"/>
        <v>53598.960000000006</v>
      </c>
      <c r="I136">
        <f t="shared" si="84"/>
        <v>2233.2900000000004</v>
      </c>
      <c r="L136" t="s">
        <v>136</v>
      </c>
      <c r="M136" s="142">
        <f t="shared" si="85"/>
        <v>24.56</v>
      </c>
      <c r="N136" s="476">
        <f t="shared" si="53"/>
        <v>0</v>
      </c>
      <c r="O136" s="142">
        <f t="shared" si="48"/>
        <v>24.56</v>
      </c>
      <c r="P136" s="476">
        <f t="shared" si="49"/>
        <v>51281.279999999999</v>
      </c>
      <c r="Q136" s="476"/>
      <c r="R136" s="476">
        <f t="shared" si="59"/>
        <v>0</v>
      </c>
      <c r="S136" s="476">
        <f t="shared" si="50"/>
        <v>24.56</v>
      </c>
      <c r="T136" s="476">
        <f t="shared" si="86"/>
        <v>51281.279999999999</v>
      </c>
      <c r="U136" t="s">
        <v>136</v>
      </c>
      <c r="V136" s="476">
        <f t="shared" si="87"/>
        <v>0</v>
      </c>
      <c r="W136" s="142">
        <f t="shared" si="52"/>
        <v>0</v>
      </c>
      <c r="X136" s="1076"/>
    </row>
    <row r="137" spans="1:24" x14ac:dyDescent="0.2">
      <c r="A137" t="s">
        <v>137</v>
      </c>
      <c r="B137" s="476">
        <f t="shared" si="82"/>
        <v>53598.960000000006</v>
      </c>
      <c r="C137" s="476">
        <f t="shared" si="82"/>
        <v>2233.2900000000004</v>
      </c>
      <c r="D137" s="9" t="s">
        <v>131</v>
      </c>
      <c r="E137" s="10">
        <v>7</v>
      </c>
      <c r="F137" s="476">
        <f t="shared" si="46"/>
        <v>53598.960000000006</v>
      </c>
      <c r="G137" s="476">
        <f t="shared" si="47"/>
        <v>2233.2900000000004</v>
      </c>
      <c r="H137">
        <f t="shared" si="83"/>
        <v>55958.400000000001</v>
      </c>
      <c r="I137">
        <f t="shared" si="84"/>
        <v>2331.6</v>
      </c>
      <c r="L137" t="s">
        <v>137</v>
      </c>
      <c r="M137" s="142">
        <f t="shared" si="85"/>
        <v>25.67</v>
      </c>
      <c r="N137" s="476">
        <f t="shared" si="53"/>
        <v>0</v>
      </c>
      <c r="O137" s="142">
        <f t="shared" si="48"/>
        <v>25.67</v>
      </c>
      <c r="P137" s="476">
        <f t="shared" si="49"/>
        <v>53598.960000000006</v>
      </c>
      <c r="Q137" s="476"/>
      <c r="R137" s="476">
        <f t="shared" si="59"/>
        <v>0</v>
      </c>
      <c r="S137" s="476">
        <f t="shared" si="50"/>
        <v>25.67</v>
      </c>
      <c r="T137" s="476">
        <f t="shared" si="86"/>
        <v>53598.960000000006</v>
      </c>
      <c r="U137" t="s">
        <v>137</v>
      </c>
      <c r="V137" s="476">
        <f t="shared" si="87"/>
        <v>0</v>
      </c>
      <c r="W137" s="142">
        <f t="shared" si="52"/>
        <v>0</v>
      </c>
      <c r="X137" s="1076"/>
    </row>
    <row r="138" spans="1:24" x14ac:dyDescent="0.2">
      <c r="A138" t="s">
        <v>138</v>
      </c>
      <c r="B138" s="476">
        <f t="shared" si="82"/>
        <v>55958.400000000001</v>
      </c>
      <c r="C138" s="476">
        <f t="shared" si="82"/>
        <v>2331.6</v>
      </c>
      <c r="D138" s="9" t="s">
        <v>131</v>
      </c>
      <c r="E138" s="10">
        <v>8</v>
      </c>
      <c r="F138" s="476">
        <f t="shared" si="46"/>
        <v>55958.400000000001</v>
      </c>
      <c r="G138" s="476">
        <f t="shared" si="47"/>
        <v>2331.6</v>
      </c>
      <c r="H138">
        <f t="shared" si="83"/>
        <v>58380.480000000003</v>
      </c>
      <c r="I138">
        <f t="shared" si="84"/>
        <v>2432.52</v>
      </c>
      <c r="L138" t="s">
        <v>138</v>
      </c>
      <c r="M138" s="142">
        <f t="shared" si="85"/>
        <v>26.8</v>
      </c>
      <c r="N138" s="476">
        <f t="shared" si="53"/>
        <v>0</v>
      </c>
      <c r="O138" s="142">
        <f t="shared" si="48"/>
        <v>26.8</v>
      </c>
      <c r="P138" s="476">
        <f t="shared" si="49"/>
        <v>55958.400000000001</v>
      </c>
      <c r="Q138" s="476"/>
      <c r="R138" s="476">
        <f t="shared" si="59"/>
        <v>0</v>
      </c>
      <c r="S138" s="476">
        <f t="shared" si="50"/>
        <v>26.8</v>
      </c>
      <c r="T138" s="476">
        <f t="shared" si="86"/>
        <v>55979.28</v>
      </c>
      <c r="U138" t="s">
        <v>138</v>
      </c>
      <c r="V138" s="476">
        <f t="shared" si="87"/>
        <v>20.88</v>
      </c>
      <c r="W138" s="142">
        <f t="shared" si="52"/>
        <v>20.879999999997381</v>
      </c>
      <c r="X138" s="1076"/>
    </row>
    <row r="139" spans="1:24" x14ac:dyDescent="0.2">
      <c r="A139" t="s">
        <v>262</v>
      </c>
      <c r="B139" s="478">
        <f t="shared" si="82"/>
        <v>58380.480000000003</v>
      </c>
      <c r="C139" s="478">
        <f t="shared" si="82"/>
        <v>2432.52</v>
      </c>
      <c r="D139" s="9">
        <v>30</v>
      </c>
      <c r="E139" s="10">
        <v>9</v>
      </c>
      <c r="F139" s="476">
        <f t="shared" ref="F139:F202" si="88">B139</f>
        <v>58380.480000000003</v>
      </c>
      <c r="G139" s="476">
        <f t="shared" ref="G139:G202" si="89">C139</f>
        <v>2432.52</v>
      </c>
      <c r="H139">
        <f t="shared" si="83"/>
        <v>61011.360000000001</v>
      </c>
      <c r="I139">
        <f t="shared" si="84"/>
        <v>2542.14</v>
      </c>
      <c r="L139" t="s">
        <v>262</v>
      </c>
      <c r="M139" s="143">
        <f t="shared" si="85"/>
        <v>27.96</v>
      </c>
      <c r="N139" s="476">
        <f t="shared" si="53"/>
        <v>0</v>
      </c>
      <c r="O139" s="142">
        <f t="shared" ref="O139:O202" si="90">M139+N139</f>
        <v>27.96</v>
      </c>
      <c r="P139" s="476">
        <f t="shared" ref="P139:P202" si="91">O139*$P$9</f>
        <v>58380.480000000003</v>
      </c>
      <c r="Q139" s="476"/>
      <c r="R139" s="476">
        <f t="shared" si="59"/>
        <v>0</v>
      </c>
      <c r="S139" s="476">
        <f t="shared" ref="S139:S202" si="92">O139+R139</f>
        <v>27.96</v>
      </c>
      <c r="T139" s="478">
        <f t="shared" si="86"/>
        <v>58380.480000000003</v>
      </c>
      <c r="U139" t="s">
        <v>262</v>
      </c>
      <c r="V139" s="478">
        <f t="shared" si="87"/>
        <v>0</v>
      </c>
      <c r="W139" s="142">
        <f t="shared" ref="W139:W202" si="93">T139-P139</f>
        <v>0</v>
      </c>
      <c r="X139" s="1076"/>
    </row>
    <row r="140" spans="1:24" x14ac:dyDescent="0.2">
      <c r="A140" t="s">
        <v>298</v>
      </c>
      <c r="B140" s="477">
        <f>P140</f>
        <v>61011.360000000001</v>
      </c>
      <c r="C140" s="477">
        <f>B140/24</f>
        <v>2542.14</v>
      </c>
      <c r="D140" s="9">
        <v>30</v>
      </c>
      <c r="E140" s="10">
        <v>10</v>
      </c>
      <c r="F140" s="476">
        <f t="shared" si="88"/>
        <v>61011.360000000001</v>
      </c>
      <c r="G140" s="476">
        <f t="shared" si="89"/>
        <v>2542.14</v>
      </c>
      <c r="H140">
        <f>F140</f>
        <v>61011.360000000001</v>
      </c>
      <c r="I140">
        <f>G140</f>
        <v>2542.14</v>
      </c>
      <c r="L140" t="s">
        <v>298</v>
      </c>
      <c r="M140" s="612">
        <v>29.22</v>
      </c>
      <c r="N140" s="476">
        <f t="shared" ref="N140:N203" si="94">ROUND(+M140*$N$9,2)</f>
        <v>0</v>
      </c>
      <c r="O140" s="142">
        <f t="shared" si="90"/>
        <v>29.22</v>
      </c>
      <c r="P140" s="476">
        <f t="shared" si="91"/>
        <v>61011.360000000001</v>
      </c>
      <c r="Q140" s="476"/>
      <c r="R140" s="476">
        <f t="shared" si="59"/>
        <v>0</v>
      </c>
      <c r="S140" s="476">
        <f t="shared" si="92"/>
        <v>29.22</v>
      </c>
      <c r="T140" s="477">
        <f>S140*$T$9</f>
        <v>61011.360000000001</v>
      </c>
      <c r="U140" t="s">
        <v>298</v>
      </c>
      <c r="V140" s="142">
        <f>R140*2088</f>
        <v>0</v>
      </c>
      <c r="W140" s="142">
        <f t="shared" si="93"/>
        <v>0</v>
      </c>
      <c r="X140" s="1076"/>
    </row>
    <row r="141" spans="1:24" x14ac:dyDescent="0.2">
      <c r="A141" t="s">
        <v>139</v>
      </c>
      <c r="B141" s="476">
        <f t="shared" ref="B141:C149" si="95">B132</f>
        <v>43346.880000000005</v>
      </c>
      <c r="C141" s="476">
        <f t="shared" si="95"/>
        <v>1806.1200000000001</v>
      </c>
      <c r="D141" s="9" t="s">
        <v>140</v>
      </c>
      <c r="E141" s="10" t="s">
        <v>23</v>
      </c>
      <c r="F141" s="476">
        <f t="shared" si="88"/>
        <v>43346.880000000005</v>
      </c>
      <c r="G141" s="476">
        <f t="shared" si="89"/>
        <v>1806.1200000000001</v>
      </c>
      <c r="H141">
        <f t="shared" ref="H141:H149" si="96">F142</f>
        <v>45142.560000000005</v>
      </c>
      <c r="I141">
        <f t="shared" ref="I141:I149" si="97">G142</f>
        <v>1880.9400000000003</v>
      </c>
      <c r="L141" t="s">
        <v>139</v>
      </c>
      <c r="M141" s="142">
        <f t="shared" ref="M141:M149" si="98">M132</f>
        <v>20.76</v>
      </c>
      <c r="N141" s="476">
        <f t="shared" si="94"/>
        <v>0</v>
      </c>
      <c r="O141" s="142">
        <f t="shared" si="90"/>
        <v>20.76</v>
      </c>
      <c r="P141" s="476">
        <f t="shared" si="91"/>
        <v>43346.880000000005</v>
      </c>
      <c r="Q141" s="476"/>
      <c r="R141" s="476">
        <f t="shared" si="59"/>
        <v>0</v>
      </c>
      <c r="S141" s="476">
        <f t="shared" si="92"/>
        <v>20.76</v>
      </c>
      <c r="T141" s="476">
        <f t="shared" ref="T141:T149" si="99">T132</f>
        <v>43346.880000000005</v>
      </c>
      <c r="U141" t="s">
        <v>139</v>
      </c>
      <c r="V141" s="476">
        <f t="shared" ref="V141:V149" si="100">V132</f>
        <v>0</v>
      </c>
      <c r="W141" s="142">
        <f t="shared" si="93"/>
        <v>0</v>
      </c>
      <c r="X141" s="1076"/>
    </row>
    <row r="142" spans="1:24" x14ac:dyDescent="0.2">
      <c r="A142" t="s">
        <v>141</v>
      </c>
      <c r="B142" s="476">
        <f t="shared" si="95"/>
        <v>45142.560000000005</v>
      </c>
      <c r="C142" s="476">
        <f t="shared" si="95"/>
        <v>1880.9400000000003</v>
      </c>
      <c r="D142" s="9" t="s">
        <v>140</v>
      </c>
      <c r="E142" s="10">
        <v>2</v>
      </c>
      <c r="F142" s="476">
        <f t="shared" si="88"/>
        <v>45142.560000000005</v>
      </c>
      <c r="G142" s="476">
        <f t="shared" si="89"/>
        <v>1880.9400000000003</v>
      </c>
      <c r="H142">
        <f t="shared" si="96"/>
        <v>47188.800000000003</v>
      </c>
      <c r="I142">
        <f t="shared" si="97"/>
        <v>1966.2</v>
      </c>
      <c r="L142" t="s">
        <v>141</v>
      </c>
      <c r="M142" s="142">
        <f t="shared" si="98"/>
        <v>21.62</v>
      </c>
      <c r="N142" s="476">
        <f t="shared" si="94"/>
        <v>0</v>
      </c>
      <c r="O142" s="142">
        <f t="shared" si="90"/>
        <v>21.62</v>
      </c>
      <c r="P142" s="476">
        <f t="shared" si="91"/>
        <v>45142.560000000005</v>
      </c>
      <c r="Q142" s="476"/>
      <c r="R142" s="476">
        <f t="shared" si="59"/>
        <v>0</v>
      </c>
      <c r="S142" s="476">
        <f t="shared" si="92"/>
        <v>21.62</v>
      </c>
      <c r="T142" s="476">
        <f t="shared" si="99"/>
        <v>45142.560000000005</v>
      </c>
      <c r="U142" t="s">
        <v>141</v>
      </c>
      <c r="V142" s="476">
        <f t="shared" si="100"/>
        <v>0</v>
      </c>
      <c r="W142" s="142">
        <f t="shared" si="93"/>
        <v>0</v>
      </c>
      <c r="X142" s="1076"/>
    </row>
    <row r="143" spans="1:24" x14ac:dyDescent="0.2">
      <c r="A143" t="s">
        <v>142</v>
      </c>
      <c r="B143" s="476">
        <f t="shared" si="95"/>
        <v>47188.800000000003</v>
      </c>
      <c r="C143" s="476">
        <f t="shared" si="95"/>
        <v>1966.2</v>
      </c>
      <c r="D143" s="9" t="s">
        <v>140</v>
      </c>
      <c r="E143" s="10">
        <v>3</v>
      </c>
      <c r="F143" s="476">
        <f t="shared" si="88"/>
        <v>47188.800000000003</v>
      </c>
      <c r="G143" s="476">
        <f t="shared" si="89"/>
        <v>1966.2</v>
      </c>
      <c r="H143">
        <f t="shared" si="96"/>
        <v>49151.519999999997</v>
      </c>
      <c r="I143">
        <f t="shared" si="97"/>
        <v>2047.9799999999998</v>
      </c>
      <c r="L143" t="s">
        <v>142</v>
      </c>
      <c r="M143" s="142">
        <f t="shared" si="98"/>
        <v>22.6</v>
      </c>
      <c r="N143" s="476">
        <f t="shared" si="94"/>
        <v>0</v>
      </c>
      <c r="O143" s="142">
        <f t="shared" si="90"/>
        <v>22.6</v>
      </c>
      <c r="P143" s="476">
        <f t="shared" si="91"/>
        <v>47188.800000000003</v>
      </c>
      <c r="Q143" s="476"/>
      <c r="R143" s="476">
        <f t="shared" si="59"/>
        <v>0</v>
      </c>
      <c r="S143" s="476">
        <f t="shared" si="92"/>
        <v>22.6</v>
      </c>
      <c r="T143" s="476">
        <f t="shared" si="99"/>
        <v>47188.800000000003</v>
      </c>
      <c r="U143" t="s">
        <v>142</v>
      </c>
      <c r="V143" s="476">
        <f t="shared" si="100"/>
        <v>0</v>
      </c>
      <c r="W143" s="142">
        <f t="shared" si="93"/>
        <v>0</v>
      </c>
      <c r="X143" s="1076"/>
    </row>
    <row r="144" spans="1:24" x14ac:dyDescent="0.2">
      <c r="A144" t="s">
        <v>143</v>
      </c>
      <c r="B144" s="476">
        <f t="shared" si="95"/>
        <v>49151.519999999997</v>
      </c>
      <c r="C144" s="476">
        <f t="shared" si="95"/>
        <v>2047.9799999999998</v>
      </c>
      <c r="D144" s="9" t="s">
        <v>140</v>
      </c>
      <c r="E144" s="10">
        <v>4</v>
      </c>
      <c r="F144" s="476">
        <f t="shared" si="88"/>
        <v>49151.519999999997</v>
      </c>
      <c r="G144" s="476">
        <f t="shared" si="89"/>
        <v>2047.9799999999998</v>
      </c>
      <c r="H144">
        <f t="shared" si="96"/>
        <v>51281.279999999999</v>
      </c>
      <c r="I144">
        <f t="shared" si="97"/>
        <v>2136.7199999999998</v>
      </c>
      <c r="L144" t="s">
        <v>143</v>
      </c>
      <c r="M144" s="142">
        <f t="shared" si="98"/>
        <v>23.54</v>
      </c>
      <c r="N144" s="476">
        <f t="shared" si="94"/>
        <v>0</v>
      </c>
      <c r="O144" s="142">
        <f t="shared" si="90"/>
        <v>23.54</v>
      </c>
      <c r="P144" s="476">
        <f t="shared" si="91"/>
        <v>49151.519999999997</v>
      </c>
      <c r="Q144" s="476"/>
      <c r="R144" s="476">
        <f t="shared" si="59"/>
        <v>0</v>
      </c>
      <c r="S144" s="476">
        <f t="shared" si="92"/>
        <v>23.54</v>
      </c>
      <c r="T144" s="476">
        <f t="shared" si="99"/>
        <v>49151.519999999997</v>
      </c>
      <c r="U144" t="s">
        <v>143</v>
      </c>
      <c r="V144" s="476">
        <f t="shared" si="100"/>
        <v>0</v>
      </c>
      <c r="W144" s="142">
        <f t="shared" si="93"/>
        <v>0</v>
      </c>
      <c r="X144" s="1076"/>
    </row>
    <row r="145" spans="1:24" x14ac:dyDescent="0.2">
      <c r="A145" t="s">
        <v>144</v>
      </c>
      <c r="B145" s="476">
        <f t="shared" si="95"/>
        <v>51281.279999999999</v>
      </c>
      <c r="C145" s="476">
        <f t="shared" si="95"/>
        <v>2136.7199999999998</v>
      </c>
      <c r="D145" s="9" t="s">
        <v>140</v>
      </c>
      <c r="E145" s="10">
        <v>5</v>
      </c>
      <c r="F145" s="476">
        <f t="shared" si="88"/>
        <v>51281.279999999999</v>
      </c>
      <c r="G145" s="476">
        <f t="shared" si="89"/>
        <v>2136.7199999999998</v>
      </c>
      <c r="H145">
        <f t="shared" si="96"/>
        <v>53598.960000000006</v>
      </c>
      <c r="I145">
        <f t="shared" si="97"/>
        <v>2233.2900000000004</v>
      </c>
      <c r="L145" t="s">
        <v>144</v>
      </c>
      <c r="M145" s="142">
        <f t="shared" si="98"/>
        <v>24.56</v>
      </c>
      <c r="N145" s="476">
        <f t="shared" si="94"/>
        <v>0</v>
      </c>
      <c r="O145" s="142">
        <f t="shared" si="90"/>
        <v>24.56</v>
      </c>
      <c r="P145" s="476">
        <f t="shared" si="91"/>
        <v>51281.279999999999</v>
      </c>
      <c r="Q145" s="476"/>
      <c r="R145" s="476">
        <f t="shared" si="59"/>
        <v>0</v>
      </c>
      <c r="S145" s="476">
        <f t="shared" si="92"/>
        <v>24.56</v>
      </c>
      <c r="T145" s="476">
        <f t="shared" si="99"/>
        <v>51281.279999999999</v>
      </c>
      <c r="U145" t="s">
        <v>144</v>
      </c>
      <c r="V145" s="476">
        <f t="shared" si="100"/>
        <v>0</v>
      </c>
      <c r="W145" s="142">
        <f t="shared" si="93"/>
        <v>0</v>
      </c>
      <c r="X145" s="1076"/>
    </row>
    <row r="146" spans="1:24" x14ac:dyDescent="0.2">
      <c r="A146" t="s">
        <v>145</v>
      </c>
      <c r="B146" s="476">
        <f t="shared" si="95"/>
        <v>53598.960000000006</v>
      </c>
      <c r="C146" s="476">
        <f t="shared" si="95"/>
        <v>2233.2900000000004</v>
      </c>
      <c r="D146" s="9" t="s">
        <v>140</v>
      </c>
      <c r="E146" s="10">
        <v>6</v>
      </c>
      <c r="F146" s="476">
        <f t="shared" si="88"/>
        <v>53598.960000000006</v>
      </c>
      <c r="G146" s="476">
        <f t="shared" si="89"/>
        <v>2233.2900000000004</v>
      </c>
      <c r="H146">
        <f t="shared" si="96"/>
        <v>55958.400000000001</v>
      </c>
      <c r="I146">
        <f t="shared" si="97"/>
        <v>2331.6</v>
      </c>
      <c r="L146" t="s">
        <v>145</v>
      </c>
      <c r="M146" s="142">
        <f t="shared" si="98"/>
        <v>25.67</v>
      </c>
      <c r="N146" s="476">
        <f t="shared" si="94"/>
        <v>0</v>
      </c>
      <c r="O146" s="142">
        <f t="shared" si="90"/>
        <v>25.67</v>
      </c>
      <c r="P146" s="476">
        <f t="shared" si="91"/>
        <v>53598.960000000006</v>
      </c>
      <c r="Q146" s="476"/>
      <c r="R146" s="476">
        <f t="shared" si="59"/>
        <v>0</v>
      </c>
      <c r="S146" s="476">
        <f t="shared" si="92"/>
        <v>25.67</v>
      </c>
      <c r="T146" s="476">
        <f t="shared" si="99"/>
        <v>53598.960000000006</v>
      </c>
      <c r="U146" t="s">
        <v>145</v>
      </c>
      <c r="V146" s="476">
        <f t="shared" si="100"/>
        <v>0</v>
      </c>
      <c r="W146" s="142">
        <f t="shared" si="93"/>
        <v>0</v>
      </c>
      <c r="X146" s="1076"/>
    </row>
    <row r="147" spans="1:24" x14ac:dyDescent="0.2">
      <c r="A147" t="s">
        <v>146</v>
      </c>
      <c r="B147" s="476">
        <f t="shared" si="95"/>
        <v>55958.400000000001</v>
      </c>
      <c r="C147" s="476">
        <f t="shared" si="95"/>
        <v>2331.6</v>
      </c>
      <c r="D147" s="9" t="s">
        <v>140</v>
      </c>
      <c r="E147" s="10">
        <v>7</v>
      </c>
      <c r="F147" s="476">
        <f t="shared" si="88"/>
        <v>55958.400000000001</v>
      </c>
      <c r="G147" s="476">
        <f t="shared" si="89"/>
        <v>2331.6</v>
      </c>
      <c r="H147">
        <f t="shared" si="96"/>
        <v>58380.480000000003</v>
      </c>
      <c r="I147">
        <f t="shared" si="97"/>
        <v>2432.52</v>
      </c>
      <c r="L147" t="s">
        <v>146</v>
      </c>
      <c r="M147" s="142">
        <f t="shared" si="98"/>
        <v>26.8</v>
      </c>
      <c r="N147" s="476">
        <f t="shared" si="94"/>
        <v>0</v>
      </c>
      <c r="O147" s="142">
        <f t="shared" si="90"/>
        <v>26.8</v>
      </c>
      <c r="P147" s="476">
        <f t="shared" si="91"/>
        <v>55958.400000000001</v>
      </c>
      <c r="Q147" s="476"/>
      <c r="R147" s="476">
        <f t="shared" si="59"/>
        <v>0</v>
      </c>
      <c r="S147" s="476">
        <f t="shared" si="92"/>
        <v>26.8</v>
      </c>
      <c r="T147" s="476">
        <f t="shared" si="99"/>
        <v>55979.28</v>
      </c>
      <c r="U147" t="s">
        <v>146</v>
      </c>
      <c r="V147" s="476">
        <f t="shared" si="100"/>
        <v>20.88</v>
      </c>
      <c r="W147" s="142">
        <f t="shared" si="93"/>
        <v>20.879999999997381</v>
      </c>
      <c r="X147" s="1076"/>
    </row>
    <row r="148" spans="1:24" x14ac:dyDescent="0.2">
      <c r="A148" t="s">
        <v>147</v>
      </c>
      <c r="B148" s="476">
        <f t="shared" si="95"/>
        <v>58380.480000000003</v>
      </c>
      <c r="C148" s="476">
        <f t="shared" si="95"/>
        <v>2432.52</v>
      </c>
      <c r="D148" s="9" t="s">
        <v>140</v>
      </c>
      <c r="E148" s="10">
        <v>8</v>
      </c>
      <c r="F148" s="476">
        <f t="shared" si="88"/>
        <v>58380.480000000003</v>
      </c>
      <c r="G148" s="476">
        <f t="shared" si="89"/>
        <v>2432.52</v>
      </c>
      <c r="H148">
        <f t="shared" si="96"/>
        <v>61011.360000000001</v>
      </c>
      <c r="I148">
        <f t="shared" si="97"/>
        <v>2542.14</v>
      </c>
      <c r="L148" t="s">
        <v>147</v>
      </c>
      <c r="M148" s="142">
        <f t="shared" si="98"/>
        <v>27.96</v>
      </c>
      <c r="N148" s="476">
        <f t="shared" si="94"/>
        <v>0</v>
      </c>
      <c r="O148" s="142">
        <f t="shared" si="90"/>
        <v>27.96</v>
      </c>
      <c r="P148" s="476">
        <f t="shared" si="91"/>
        <v>58380.480000000003</v>
      </c>
      <c r="Q148" s="476"/>
      <c r="R148" s="476">
        <f t="shared" si="59"/>
        <v>0</v>
      </c>
      <c r="S148" s="476">
        <f t="shared" si="92"/>
        <v>27.96</v>
      </c>
      <c r="T148" s="476">
        <f t="shared" si="99"/>
        <v>58380.480000000003</v>
      </c>
      <c r="U148" t="s">
        <v>147</v>
      </c>
      <c r="V148" s="476">
        <f t="shared" si="100"/>
        <v>0</v>
      </c>
      <c r="W148" s="142">
        <f t="shared" si="93"/>
        <v>0</v>
      </c>
      <c r="X148" s="1076"/>
    </row>
    <row r="149" spans="1:24" x14ac:dyDescent="0.2">
      <c r="A149" t="s">
        <v>263</v>
      </c>
      <c r="B149" s="478">
        <f t="shared" si="95"/>
        <v>61011.360000000001</v>
      </c>
      <c r="C149" s="478">
        <f t="shared" si="95"/>
        <v>2542.14</v>
      </c>
      <c r="D149" s="9">
        <v>31</v>
      </c>
      <c r="E149" s="10">
        <v>9</v>
      </c>
      <c r="F149" s="476">
        <f t="shared" si="88"/>
        <v>61011.360000000001</v>
      </c>
      <c r="G149" s="476">
        <f t="shared" si="89"/>
        <v>2542.14</v>
      </c>
      <c r="H149">
        <f t="shared" si="96"/>
        <v>63746.64</v>
      </c>
      <c r="I149">
        <f t="shared" si="97"/>
        <v>2656.11</v>
      </c>
      <c r="L149" t="s">
        <v>263</v>
      </c>
      <c r="M149" s="143">
        <f t="shared" si="98"/>
        <v>29.22</v>
      </c>
      <c r="N149" s="476">
        <f t="shared" si="94"/>
        <v>0</v>
      </c>
      <c r="O149" s="142">
        <f t="shared" si="90"/>
        <v>29.22</v>
      </c>
      <c r="P149" s="476">
        <f t="shared" si="91"/>
        <v>61011.360000000001</v>
      </c>
      <c r="Q149" s="476"/>
      <c r="R149" s="476">
        <f t="shared" ref="R149:R212" si="101">ROUND(+M149*$R$9,2)</f>
        <v>0</v>
      </c>
      <c r="S149" s="476">
        <f t="shared" si="92"/>
        <v>29.22</v>
      </c>
      <c r="T149" s="478">
        <f t="shared" si="99"/>
        <v>61011.360000000001</v>
      </c>
      <c r="U149" t="s">
        <v>263</v>
      </c>
      <c r="V149" s="478">
        <f t="shared" si="100"/>
        <v>0</v>
      </c>
      <c r="W149" s="142">
        <f t="shared" si="93"/>
        <v>0</v>
      </c>
      <c r="X149" s="1076"/>
    </row>
    <row r="150" spans="1:24" x14ac:dyDescent="0.2">
      <c r="A150" t="s">
        <v>299</v>
      </c>
      <c r="B150" s="477">
        <f>P150</f>
        <v>63746.64</v>
      </c>
      <c r="C150" s="477">
        <f>B150/24</f>
        <v>2656.11</v>
      </c>
      <c r="D150" s="9">
        <v>31</v>
      </c>
      <c r="E150" s="10">
        <v>10</v>
      </c>
      <c r="F150" s="476">
        <f t="shared" si="88"/>
        <v>63746.64</v>
      </c>
      <c r="G150" s="476">
        <f t="shared" si="89"/>
        <v>2656.11</v>
      </c>
      <c r="H150">
        <f>F150</f>
        <v>63746.64</v>
      </c>
      <c r="I150">
        <f>G150</f>
        <v>2656.11</v>
      </c>
      <c r="L150" t="s">
        <v>299</v>
      </c>
      <c r="M150" s="612">
        <v>30.53</v>
      </c>
      <c r="N150" s="476">
        <f t="shared" si="94"/>
        <v>0</v>
      </c>
      <c r="O150" s="142">
        <f t="shared" si="90"/>
        <v>30.53</v>
      </c>
      <c r="P150" s="476">
        <f t="shared" si="91"/>
        <v>63746.64</v>
      </c>
      <c r="Q150" s="476"/>
      <c r="R150" s="476">
        <f t="shared" si="101"/>
        <v>0</v>
      </c>
      <c r="S150" s="476">
        <f t="shared" si="92"/>
        <v>30.53</v>
      </c>
      <c r="T150" s="477">
        <f>S150*$T$9</f>
        <v>63746.64</v>
      </c>
      <c r="U150" t="s">
        <v>299</v>
      </c>
      <c r="V150" s="142">
        <f>R150*2088</f>
        <v>0</v>
      </c>
      <c r="W150" s="142">
        <f t="shared" si="93"/>
        <v>0</v>
      </c>
      <c r="X150" s="1076"/>
    </row>
    <row r="151" spans="1:24" x14ac:dyDescent="0.2">
      <c r="A151" t="s">
        <v>148</v>
      </c>
      <c r="B151" s="476">
        <f t="shared" ref="B151:C159" si="102">B142</f>
        <v>45142.560000000005</v>
      </c>
      <c r="C151" s="476">
        <f t="shared" si="102"/>
        <v>1880.9400000000003</v>
      </c>
      <c r="D151" s="9" t="s">
        <v>149</v>
      </c>
      <c r="E151" s="10" t="s">
        <v>23</v>
      </c>
      <c r="F151" s="476">
        <f t="shared" si="88"/>
        <v>45142.560000000005</v>
      </c>
      <c r="G151" s="476">
        <f t="shared" si="89"/>
        <v>1880.9400000000003</v>
      </c>
      <c r="H151">
        <f t="shared" ref="H151:H159" si="103">F152</f>
        <v>47188.800000000003</v>
      </c>
      <c r="I151">
        <f t="shared" ref="I151:I159" si="104">G152</f>
        <v>1966.2</v>
      </c>
      <c r="L151" t="s">
        <v>148</v>
      </c>
      <c r="M151" s="142">
        <f t="shared" ref="M151:M159" si="105">M142</f>
        <v>21.62</v>
      </c>
      <c r="N151" s="476">
        <f t="shared" si="94"/>
        <v>0</v>
      </c>
      <c r="O151" s="142">
        <f t="shared" si="90"/>
        <v>21.62</v>
      </c>
      <c r="P151" s="476">
        <f t="shared" si="91"/>
        <v>45142.560000000005</v>
      </c>
      <c r="Q151" s="476"/>
      <c r="R151" s="476">
        <f t="shared" si="101"/>
        <v>0</v>
      </c>
      <c r="S151" s="476">
        <f t="shared" si="92"/>
        <v>21.62</v>
      </c>
      <c r="T151" s="476">
        <f t="shared" ref="T151:T159" si="106">T142</f>
        <v>45142.560000000005</v>
      </c>
      <c r="U151" t="s">
        <v>148</v>
      </c>
      <c r="V151" s="476">
        <f t="shared" ref="V151:V159" si="107">V142</f>
        <v>0</v>
      </c>
      <c r="W151" s="142">
        <f t="shared" si="93"/>
        <v>0</v>
      </c>
      <c r="X151" s="1076"/>
    </row>
    <row r="152" spans="1:24" x14ac:dyDescent="0.2">
      <c r="A152" t="s">
        <v>150</v>
      </c>
      <c r="B152" s="476">
        <f t="shared" si="102"/>
        <v>47188.800000000003</v>
      </c>
      <c r="C152" s="476">
        <f t="shared" si="102"/>
        <v>1966.2</v>
      </c>
      <c r="D152" s="9" t="s">
        <v>149</v>
      </c>
      <c r="E152" s="10">
        <v>2</v>
      </c>
      <c r="F152" s="476">
        <f t="shared" si="88"/>
        <v>47188.800000000003</v>
      </c>
      <c r="G152" s="476">
        <f t="shared" si="89"/>
        <v>1966.2</v>
      </c>
      <c r="H152">
        <f t="shared" si="103"/>
        <v>49151.519999999997</v>
      </c>
      <c r="I152">
        <f t="shared" si="104"/>
        <v>2047.9799999999998</v>
      </c>
      <c r="L152" t="s">
        <v>150</v>
      </c>
      <c r="M152" s="142">
        <f t="shared" si="105"/>
        <v>22.6</v>
      </c>
      <c r="N152" s="476">
        <f t="shared" si="94"/>
        <v>0</v>
      </c>
      <c r="O152" s="142">
        <f t="shared" si="90"/>
        <v>22.6</v>
      </c>
      <c r="P152" s="476">
        <f t="shared" si="91"/>
        <v>47188.800000000003</v>
      </c>
      <c r="Q152" s="476"/>
      <c r="R152" s="476">
        <f t="shared" si="101"/>
        <v>0</v>
      </c>
      <c r="S152" s="476">
        <f t="shared" si="92"/>
        <v>22.6</v>
      </c>
      <c r="T152" s="476">
        <f t="shared" si="106"/>
        <v>47188.800000000003</v>
      </c>
      <c r="U152" t="s">
        <v>150</v>
      </c>
      <c r="V152" s="476">
        <f t="shared" si="107"/>
        <v>0</v>
      </c>
      <c r="W152" s="142">
        <f t="shared" si="93"/>
        <v>0</v>
      </c>
      <c r="X152" s="1076"/>
    </row>
    <row r="153" spans="1:24" x14ac:dyDescent="0.2">
      <c r="A153" t="s">
        <v>151</v>
      </c>
      <c r="B153" s="476">
        <f t="shared" si="102"/>
        <v>49151.519999999997</v>
      </c>
      <c r="C153" s="476">
        <f t="shared" si="102"/>
        <v>2047.9799999999998</v>
      </c>
      <c r="D153" s="9" t="s">
        <v>149</v>
      </c>
      <c r="E153" s="10">
        <v>3</v>
      </c>
      <c r="F153" s="476">
        <f t="shared" si="88"/>
        <v>49151.519999999997</v>
      </c>
      <c r="G153" s="476">
        <f t="shared" si="89"/>
        <v>2047.9799999999998</v>
      </c>
      <c r="H153">
        <f t="shared" si="103"/>
        <v>51281.279999999999</v>
      </c>
      <c r="I153">
        <f t="shared" si="104"/>
        <v>2136.7199999999998</v>
      </c>
      <c r="L153" t="s">
        <v>151</v>
      </c>
      <c r="M153" s="142">
        <f t="shared" si="105"/>
        <v>23.54</v>
      </c>
      <c r="N153" s="476">
        <f t="shared" si="94"/>
        <v>0</v>
      </c>
      <c r="O153" s="142">
        <f t="shared" si="90"/>
        <v>23.54</v>
      </c>
      <c r="P153" s="476">
        <f t="shared" si="91"/>
        <v>49151.519999999997</v>
      </c>
      <c r="Q153" s="476"/>
      <c r="R153" s="476">
        <f t="shared" si="101"/>
        <v>0</v>
      </c>
      <c r="S153" s="476">
        <f t="shared" si="92"/>
        <v>23.54</v>
      </c>
      <c r="T153" s="476">
        <f t="shared" si="106"/>
        <v>49151.519999999997</v>
      </c>
      <c r="U153" t="s">
        <v>151</v>
      </c>
      <c r="V153" s="476">
        <f t="shared" si="107"/>
        <v>0</v>
      </c>
      <c r="W153" s="142">
        <f t="shared" si="93"/>
        <v>0</v>
      </c>
      <c r="X153" s="1076"/>
    </row>
    <row r="154" spans="1:24" x14ac:dyDescent="0.2">
      <c r="A154" t="s">
        <v>152</v>
      </c>
      <c r="B154" s="476">
        <f t="shared" si="102"/>
        <v>51281.279999999999</v>
      </c>
      <c r="C154" s="476">
        <f t="shared" si="102"/>
        <v>2136.7199999999998</v>
      </c>
      <c r="D154" s="9" t="s">
        <v>149</v>
      </c>
      <c r="E154" s="10">
        <v>4</v>
      </c>
      <c r="F154" s="476">
        <f t="shared" si="88"/>
        <v>51281.279999999999</v>
      </c>
      <c r="G154" s="476">
        <f t="shared" si="89"/>
        <v>2136.7199999999998</v>
      </c>
      <c r="H154">
        <f t="shared" si="103"/>
        <v>53598.960000000006</v>
      </c>
      <c r="I154">
        <f t="shared" si="104"/>
        <v>2233.2900000000004</v>
      </c>
      <c r="L154" t="s">
        <v>152</v>
      </c>
      <c r="M154" s="142">
        <f t="shared" si="105"/>
        <v>24.56</v>
      </c>
      <c r="N154" s="476">
        <f t="shared" si="94"/>
        <v>0</v>
      </c>
      <c r="O154" s="142">
        <f t="shared" si="90"/>
        <v>24.56</v>
      </c>
      <c r="P154" s="476">
        <f t="shared" si="91"/>
        <v>51281.279999999999</v>
      </c>
      <c r="Q154" s="476"/>
      <c r="R154" s="476">
        <f t="shared" si="101"/>
        <v>0</v>
      </c>
      <c r="S154" s="476">
        <f t="shared" si="92"/>
        <v>24.56</v>
      </c>
      <c r="T154" s="476">
        <f t="shared" si="106"/>
        <v>51281.279999999999</v>
      </c>
      <c r="U154" t="s">
        <v>152</v>
      </c>
      <c r="V154" s="476">
        <f t="shared" si="107"/>
        <v>0</v>
      </c>
      <c r="W154" s="142">
        <f t="shared" si="93"/>
        <v>0</v>
      </c>
      <c r="X154" s="1076"/>
    </row>
    <row r="155" spans="1:24" x14ac:dyDescent="0.2">
      <c r="A155" t="s">
        <v>153</v>
      </c>
      <c r="B155" s="476">
        <f t="shared" si="102"/>
        <v>53598.960000000006</v>
      </c>
      <c r="C155" s="476">
        <f t="shared" si="102"/>
        <v>2233.2900000000004</v>
      </c>
      <c r="D155" s="9" t="s">
        <v>149</v>
      </c>
      <c r="E155" s="10">
        <v>5</v>
      </c>
      <c r="F155" s="476">
        <f t="shared" si="88"/>
        <v>53598.960000000006</v>
      </c>
      <c r="G155" s="476">
        <f t="shared" si="89"/>
        <v>2233.2900000000004</v>
      </c>
      <c r="H155">
        <f t="shared" si="103"/>
        <v>55958.400000000001</v>
      </c>
      <c r="I155">
        <f t="shared" si="104"/>
        <v>2331.6</v>
      </c>
      <c r="L155" t="s">
        <v>153</v>
      </c>
      <c r="M155" s="142">
        <f t="shared" si="105"/>
        <v>25.67</v>
      </c>
      <c r="N155" s="476">
        <f t="shared" si="94"/>
        <v>0</v>
      </c>
      <c r="O155" s="142">
        <f t="shared" si="90"/>
        <v>25.67</v>
      </c>
      <c r="P155" s="476">
        <f t="shared" si="91"/>
        <v>53598.960000000006</v>
      </c>
      <c r="Q155" s="476"/>
      <c r="R155" s="476">
        <f t="shared" si="101"/>
        <v>0</v>
      </c>
      <c r="S155" s="476">
        <f t="shared" si="92"/>
        <v>25.67</v>
      </c>
      <c r="T155" s="476">
        <f t="shared" si="106"/>
        <v>53598.960000000006</v>
      </c>
      <c r="U155" t="s">
        <v>153</v>
      </c>
      <c r="V155" s="476">
        <f t="shared" si="107"/>
        <v>0</v>
      </c>
      <c r="W155" s="142">
        <f t="shared" si="93"/>
        <v>0</v>
      </c>
      <c r="X155" s="1076"/>
    </row>
    <row r="156" spans="1:24" x14ac:dyDescent="0.2">
      <c r="A156" t="s">
        <v>154</v>
      </c>
      <c r="B156" s="476">
        <f t="shared" si="102"/>
        <v>55958.400000000001</v>
      </c>
      <c r="C156" s="476">
        <f t="shared" si="102"/>
        <v>2331.6</v>
      </c>
      <c r="D156" s="9" t="s">
        <v>149</v>
      </c>
      <c r="E156" s="10">
        <v>6</v>
      </c>
      <c r="F156" s="476">
        <f t="shared" si="88"/>
        <v>55958.400000000001</v>
      </c>
      <c r="G156" s="476">
        <f t="shared" si="89"/>
        <v>2331.6</v>
      </c>
      <c r="H156">
        <f t="shared" si="103"/>
        <v>58380.480000000003</v>
      </c>
      <c r="I156">
        <f t="shared" si="104"/>
        <v>2432.52</v>
      </c>
      <c r="L156" t="s">
        <v>154</v>
      </c>
      <c r="M156" s="142">
        <f t="shared" si="105"/>
        <v>26.8</v>
      </c>
      <c r="N156" s="476">
        <f t="shared" si="94"/>
        <v>0</v>
      </c>
      <c r="O156" s="142">
        <f t="shared" si="90"/>
        <v>26.8</v>
      </c>
      <c r="P156" s="476">
        <f t="shared" si="91"/>
        <v>55958.400000000001</v>
      </c>
      <c r="Q156" s="476"/>
      <c r="R156" s="476">
        <f t="shared" si="101"/>
        <v>0</v>
      </c>
      <c r="S156" s="476">
        <f t="shared" si="92"/>
        <v>26.8</v>
      </c>
      <c r="T156" s="476">
        <f t="shared" si="106"/>
        <v>55979.28</v>
      </c>
      <c r="U156" t="s">
        <v>154</v>
      </c>
      <c r="V156" s="476">
        <f t="shared" si="107"/>
        <v>20.88</v>
      </c>
      <c r="W156" s="142">
        <f t="shared" si="93"/>
        <v>20.879999999997381</v>
      </c>
      <c r="X156" s="1076"/>
    </row>
    <row r="157" spans="1:24" x14ac:dyDescent="0.2">
      <c r="A157" t="s">
        <v>155</v>
      </c>
      <c r="B157" s="476">
        <f t="shared" si="102"/>
        <v>58380.480000000003</v>
      </c>
      <c r="C157" s="476">
        <f t="shared" si="102"/>
        <v>2432.52</v>
      </c>
      <c r="D157" s="9" t="s">
        <v>149</v>
      </c>
      <c r="E157" s="10">
        <v>7</v>
      </c>
      <c r="F157" s="476">
        <f t="shared" si="88"/>
        <v>58380.480000000003</v>
      </c>
      <c r="G157" s="476">
        <f t="shared" si="89"/>
        <v>2432.52</v>
      </c>
      <c r="H157">
        <f t="shared" si="103"/>
        <v>61011.360000000001</v>
      </c>
      <c r="I157">
        <f t="shared" si="104"/>
        <v>2542.14</v>
      </c>
      <c r="L157" t="s">
        <v>155</v>
      </c>
      <c r="M157" s="142">
        <f t="shared" si="105"/>
        <v>27.96</v>
      </c>
      <c r="N157" s="476">
        <f t="shared" si="94"/>
        <v>0</v>
      </c>
      <c r="O157" s="142">
        <f t="shared" si="90"/>
        <v>27.96</v>
      </c>
      <c r="P157" s="476">
        <f t="shared" si="91"/>
        <v>58380.480000000003</v>
      </c>
      <c r="Q157" s="476"/>
      <c r="R157" s="476">
        <f t="shared" si="101"/>
        <v>0</v>
      </c>
      <c r="S157" s="476">
        <f t="shared" si="92"/>
        <v>27.96</v>
      </c>
      <c r="T157" s="476">
        <f t="shared" si="106"/>
        <v>58380.480000000003</v>
      </c>
      <c r="U157" t="s">
        <v>155</v>
      </c>
      <c r="V157" s="476">
        <f t="shared" si="107"/>
        <v>0</v>
      </c>
      <c r="W157" s="142">
        <f t="shared" si="93"/>
        <v>0</v>
      </c>
      <c r="X157" s="1076"/>
    </row>
    <row r="158" spans="1:24" x14ac:dyDescent="0.2">
      <c r="A158" t="s">
        <v>156</v>
      </c>
      <c r="B158" s="476">
        <f t="shared" si="102"/>
        <v>61011.360000000001</v>
      </c>
      <c r="C158" s="476">
        <f t="shared" si="102"/>
        <v>2542.14</v>
      </c>
      <c r="D158" s="9" t="s">
        <v>149</v>
      </c>
      <c r="E158" s="10">
        <v>8</v>
      </c>
      <c r="F158" s="476">
        <f t="shared" si="88"/>
        <v>61011.360000000001</v>
      </c>
      <c r="G158" s="476">
        <f t="shared" si="89"/>
        <v>2542.14</v>
      </c>
      <c r="H158">
        <f t="shared" si="103"/>
        <v>63746.64</v>
      </c>
      <c r="I158">
        <f t="shared" si="104"/>
        <v>2656.11</v>
      </c>
      <c r="L158" t="s">
        <v>156</v>
      </c>
      <c r="M158" s="142">
        <f t="shared" si="105"/>
        <v>29.22</v>
      </c>
      <c r="N158" s="476">
        <f t="shared" si="94"/>
        <v>0</v>
      </c>
      <c r="O158" s="142">
        <f t="shared" si="90"/>
        <v>29.22</v>
      </c>
      <c r="P158" s="476">
        <f t="shared" si="91"/>
        <v>61011.360000000001</v>
      </c>
      <c r="Q158" s="476"/>
      <c r="R158" s="476">
        <f t="shared" si="101"/>
        <v>0</v>
      </c>
      <c r="S158" s="476">
        <f t="shared" si="92"/>
        <v>29.22</v>
      </c>
      <c r="T158" s="476">
        <f t="shared" si="106"/>
        <v>61011.360000000001</v>
      </c>
      <c r="U158" t="s">
        <v>156</v>
      </c>
      <c r="V158" s="476">
        <f t="shared" si="107"/>
        <v>0</v>
      </c>
      <c r="W158" s="142">
        <f t="shared" si="93"/>
        <v>0</v>
      </c>
      <c r="X158" s="1076"/>
    </row>
    <row r="159" spans="1:24" x14ac:dyDescent="0.2">
      <c r="A159" t="s">
        <v>264</v>
      </c>
      <c r="B159" s="478">
        <f t="shared" si="102"/>
        <v>63746.64</v>
      </c>
      <c r="C159" s="478">
        <f t="shared" si="102"/>
        <v>2656.11</v>
      </c>
      <c r="D159" s="9">
        <v>32</v>
      </c>
      <c r="E159" s="10">
        <v>9</v>
      </c>
      <c r="F159" s="476">
        <f t="shared" si="88"/>
        <v>63746.64</v>
      </c>
      <c r="G159" s="476">
        <f t="shared" si="89"/>
        <v>2656.11</v>
      </c>
      <c r="H159">
        <f t="shared" si="103"/>
        <v>66628.08</v>
      </c>
      <c r="I159">
        <f t="shared" si="104"/>
        <v>2776.17</v>
      </c>
      <c r="L159" t="s">
        <v>264</v>
      </c>
      <c r="M159" s="143">
        <f t="shared" si="105"/>
        <v>30.53</v>
      </c>
      <c r="N159" s="476">
        <f t="shared" si="94"/>
        <v>0</v>
      </c>
      <c r="O159" s="142">
        <f t="shared" si="90"/>
        <v>30.53</v>
      </c>
      <c r="P159" s="476">
        <f t="shared" si="91"/>
        <v>63746.64</v>
      </c>
      <c r="Q159" s="476"/>
      <c r="R159" s="476">
        <f t="shared" si="101"/>
        <v>0</v>
      </c>
      <c r="S159" s="476">
        <f t="shared" si="92"/>
        <v>30.53</v>
      </c>
      <c r="T159" s="478">
        <f t="shared" si="106"/>
        <v>63746.64</v>
      </c>
      <c r="U159" t="s">
        <v>264</v>
      </c>
      <c r="V159" s="478">
        <f t="shared" si="107"/>
        <v>0</v>
      </c>
      <c r="W159" s="142">
        <f t="shared" si="93"/>
        <v>0</v>
      </c>
      <c r="X159" s="1076"/>
    </row>
    <row r="160" spans="1:24" x14ac:dyDescent="0.2">
      <c r="A160" t="s">
        <v>300</v>
      </c>
      <c r="B160" s="477">
        <f>P160</f>
        <v>66628.08</v>
      </c>
      <c r="C160" s="477">
        <f>B160/24</f>
        <v>2776.17</v>
      </c>
      <c r="D160" s="9">
        <v>32</v>
      </c>
      <c r="E160" s="10">
        <v>10</v>
      </c>
      <c r="F160" s="476">
        <f t="shared" si="88"/>
        <v>66628.08</v>
      </c>
      <c r="G160" s="476">
        <f t="shared" si="89"/>
        <v>2776.17</v>
      </c>
      <c r="H160">
        <f>F160</f>
        <v>66628.08</v>
      </c>
      <c r="I160">
        <f>G160</f>
        <v>2776.17</v>
      </c>
      <c r="L160" t="s">
        <v>300</v>
      </c>
      <c r="M160" s="612">
        <v>31.91</v>
      </c>
      <c r="N160" s="476">
        <f t="shared" si="94"/>
        <v>0</v>
      </c>
      <c r="O160" s="142">
        <f t="shared" si="90"/>
        <v>31.91</v>
      </c>
      <c r="P160" s="476">
        <f t="shared" si="91"/>
        <v>66628.08</v>
      </c>
      <c r="Q160" s="476"/>
      <c r="R160" s="476">
        <f t="shared" si="101"/>
        <v>0</v>
      </c>
      <c r="S160" s="476">
        <f t="shared" si="92"/>
        <v>31.91</v>
      </c>
      <c r="T160" s="477">
        <f>S160*$T$9</f>
        <v>66628.08</v>
      </c>
      <c r="U160" t="s">
        <v>300</v>
      </c>
      <c r="V160" s="142">
        <f>R160*2088</f>
        <v>0</v>
      </c>
      <c r="W160" s="142">
        <f t="shared" si="93"/>
        <v>0</v>
      </c>
      <c r="X160" s="1076"/>
    </row>
    <row r="161" spans="1:24" x14ac:dyDescent="0.2">
      <c r="A161" t="s">
        <v>157</v>
      </c>
      <c r="B161" s="476">
        <f t="shared" ref="B161:C169" si="108">B152</f>
        <v>47188.800000000003</v>
      </c>
      <c r="C161" s="476">
        <f t="shared" si="108"/>
        <v>1966.2</v>
      </c>
      <c r="D161" s="9" t="s">
        <v>158</v>
      </c>
      <c r="E161" s="10" t="s">
        <v>23</v>
      </c>
      <c r="F161" s="476">
        <f t="shared" si="88"/>
        <v>47188.800000000003</v>
      </c>
      <c r="G161" s="476">
        <f t="shared" si="89"/>
        <v>1966.2</v>
      </c>
      <c r="H161">
        <f t="shared" ref="H161:H169" si="109">F162</f>
        <v>49151.519999999997</v>
      </c>
      <c r="I161">
        <f t="shared" ref="I161:I169" si="110">G162</f>
        <v>2047.9799999999998</v>
      </c>
      <c r="L161" t="s">
        <v>157</v>
      </c>
      <c r="M161" s="142">
        <f t="shared" ref="M161:M169" si="111">M152</f>
        <v>22.6</v>
      </c>
      <c r="N161" s="476">
        <f t="shared" si="94"/>
        <v>0</v>
      </c>
      <c r="O161" s="142">
        <f t="shared" si="90"/>
        <v>22.6</v>
      </c>
      <c r="P161" s="476">
        <f t="shared" si="91"/>
        <v>47188.800000000003</v>
      </c>
      <c r="Q161" s="476"/>
      <c r="R161" s="476">
        <f t="shared" si="101"/>
        <v>0</v>
      </c>
      <c r="S161" s="476">
        <f t="shared" si="92"/>
        <v>22.6</v>
      </c>
      <c r="T161" s="476">
        <f t="shared" ref="T161:T169" si="112">T152</f>
        <v>47188.800000000003</v>
      </c>
      <c r="U161" t="s">
        <v>157</v>
      </c>
      <c r="V161" s="476">
        <f t="shared" ref="V161:V169" si="113">V152</f>
        <v>0</v>
      </c>
      <c r="W161" s="142">
        <f t="shared" si="93"/>
        <v>0</v>
      </c>
      <c r="X161" s="1076"/>
    </row>
    <row r="162" spans="1:24" x14ac:dyDescent="0.2">
      <c r="A162" t="s">
        <v>159</v>
      </c>
      <c r="B162" s="476">
        <f t="shared" si="108"/>
        <v>49151.519999999997</v>
      </c>
      <c r="C162" s="476">
        <f t="shared" si="108"/>
        <v>2047.9799999999998</v>
      </c>
      <c r="D162" s="9" t="s">
        <v>158</v>
      </c>
      <c r="E162" s="10">
        <v>2</v>
      </c>
      <c r="F162" s="476">
        <f t="shared" si="88"/>
        <v>49151.519999999997</v>
      </c>
      <c r="G162" s="476">
        <f t="shared" si="89"/>
        <v>2047.9799999999998</v>
      </c>
      <c r="H162">
        <f t="shared" si="109"/>
        <v>51281.279999999999</v>
      </c>
      <c r="I162">
        <f t="shared" si="110"/>
        <v>2136.7199999999998</v>
      </c>
      <c r="L162" t="s">
        <v>159</v>
      </c>
      <c r="M162" s="142">
        <f t="shared" si="111"/>
        <v>23.54</v>
      </c>
      <c r="N162" s="476">
        <f t="shared" si="94"/>
        <v>0</v>
      </c>
      <c r="O162" s="142">
        <f t="shared" si="90"/>
        <v>23.54</v>
      </c>
      <c r="P162" s="476">
        <f t="shared" si="91"/>
        <v>49151.519999999997</v>
      </c>
      <c r="Q162" s="476"/>
      <c r="R162" s="476">
        <f t="shared" si="101"/>
        <v>0</v>
      </c>
      <c r="S162" s="476">
        <f t="shared" si="92"/>
        <v>23.54</v>
      </c>
      <c r="T162" s="476">
        <f t="shared" si="112"/>
        <v>49151.519999999997</v>
      </c>
      <c r="U162" t="s">
        <v>159</v>
      </c>
      <c r="V162" s="476">
        <f t="shared" si="113"/>
        <v>0</v>
      </c>
      <c r="W162" s="142">
        <f t="shared" si="93"/>
        <v>0</v>
      </c>
      <c r="X162" s="1076"/>
    </row>
    <row r="163" spans="1:24" x14ac:dyDescent="0.2">
      <c r="A163" t="s">
        <v>160</v>
      </c>
      <c r="B163" s="476">
        <f t="shared" si="108"/>
        <v>51281.279999999999</v>
      </c>
      <c r="C163" s="476">
        <f t="shared" si="108"/>
        <v>2136.7199999999998</v>
      </c>
      <c r="D163" s="9" t="s">
        <v>158</v>
      </c>
      <c r="E163" s="10">
        <v>3</v>
      </c>
      <c r="F163" s="476">
        <f t="shared" si="88"/>
        <v>51281.279999999999</v>
      </c>
      <c r="G163" s="476">
        <f t="shared" si="89"/>
        <v>2136.7199999999998</v>
      </c>
      <c r="H163">
        <f t="shared" si="109"/>
        <v>53598.960000000006</v>
      </c>
      <c r="I163">
        <f t="shared" si="110"/>
        <v>2233.2900000000004</v>
      </c>
      <c r="L163" t="s">
        <v>160</v>
      </c>
      <c r="M163" s="142">
        <f t="shared" si="111"/>
        <v>24.56</v>
      </c>
      <c r="N163" s="476">
        <f t="shared" si="94"/>
        <v>0</v>
      </c>
      <c r="O163" s="142">
        <f t="shared" si="90"/>
        <v>24.56</v>
      </c>
      <c r="P163" s="476">
        <f t="shared" si="91"/>
        <v>51281.279999999999</v>
      </c>
      <c r="Q163" s="476"/>
      <c r="R163" s="476">
        <f t="shared" si="101"/>
        <v>0</v>
      </c>
      <c r="S163" s="476">
        <f t="shared" si="92"/>
        <v>24.56</v>
      </c>
      <c r="T163" s="476">
        <f t="shared" si="112"/>
        <v>51281.279999999999</v>
      </c>
      <c r="U163" t="s">
        <v>160</v>
      </c>
      <c r="V163" s="476">
        <f t="shared" si="113"/>
        <v>0</v>
      </c>
      <c r="W163" s="142">
        <f t="shared" si="93"/>
        <v>0</v>
      </c>
      <c r="X163" s="1076"/>
    </row>
    <row r="164" spans="1:24" x14ac:dyDescent="0.2">
      <c r="A164" t="s">
        <v>161</v>
      </c>
      <c r="B164" s="476">
        <f t="shared" si="108"/>
        <v>53598.960000000006</v>
      </c>
      <c r="C164" s="476">
        <f t="shared" si="108"/>
        <v>2233.2900000000004</v>
      </c>
      <c r="D164" s="9" t="s">
        <v>158</v>
      </c>
      <c r="E164" s="10">
        <v>4</v>
      </c>
      <c r="F164" s="476">
        <f t="shared" si="88"/>
        <v>53598.960000000006</v>
      </c>
      <c r="G164" s="476">
        <f t="shared" si="89"/>
        <v>2233.2900000000004</v>
      </c>
      <c r="H164">
        <f t="shared" si="109"/>
        <v>55958.400000000001</v>
      </c>
      <c r="I164">
        <f t="shared" si="110"/>
        <v>2331.6</v>
      </c>
      <c r="L164" t="s">
        <v>161</v>
      </c>
      <c r="M164" s="142">
        <f t="shared" si="111"/>
        <v>25.67</v>
      </c>
      <c r="N164" s="476">
        <f t="shared" si="94"/>
        <v>0</v>
      </c>
      <c r="O164" s="142">
        <f t="shared" si="90"/>
        <v>25.67</v>
      </c>
      <c r="P164" s="476">
        <f t="shared" si="91"/>
        <v>53598.960000000006</v>
      </c>
      <c r="Q164" s="476"/>
      <c r="R164" s="476">
        <f t="shared" si="101"/>
        <v>0</v>
      </c>
      <c r="S164" s="476">
        <f t="shared" si="92"/>
        <v>25.67</v>
      </c>
      <c r="T164" s="476">
        <f t="shared" si="112"/>
        <v>53598.960000000006</v>
      </c>
      <c r="U164" t="s">
        <v>161</v>
      </c>
      <c r="V164" s="476">
        <f t="shared" si="113"/>
        <v>0</v>
      </c>
      <c r="W164" s="142">
        <f t="shared" si="93"/>
        <v>0</v>
      </c>
      <c r="X164" s="1076"/>
    </row>
    <row r="165" spans="1:24" x14ac:dyDescent="0.2">
      <c r="A165" t="s">
        <v>162</v>
      </c>
      <c r="B165" s="476">
        <f t="shared" si="108"/>
        <v>55958.400000000001</v>
      </c>
      <c r="C165" s="476">
        <f t="shared" si="108"/>
        <v>2331.6</v>
      </c>
      <c r="D165" s="9" t="s">
        <v>158</v>
      </c>
      <c r="E165" s="10">
        <v>5</v>
      </c>
      <c r="F165" s="476">
        <f t="shared" si="88"/>
        <v>55958.400000000001</v>
      </c>
      <c r="G165" s="476">
        <f t="shared" si="89"/>
        <v>2331.6</v>
      </c>
      <c r="H165">
        <f t="shared" si="109"/>
        <v>58380.480000000003</v>
      </c>
      <c r="I165">
        <f t="shared" si="110"/>
        <v>2432.52</v>
      </c>
      <c r="L165" t="s">
        <v>162</v>
      </c>
      <c r="M165" s="142">
        <f t="shared" si="111"/>
        <v>26.8</v>
      </c>
      <c r="N165" s="476">
        <f t="shared" si="94"/>
        <v>0</v>
      </c>
      <c r="O165" s="142">
        <f t="shared" si="90"/>
        <v>26.8</v>
      </c>
      <c r="P165" s="476">
        <f t="shared" si="91"/>
        <v>55958.400000000001</v>
      </c>
      <c r="Q165" s="476"/>
      <c r="R165" s="476">
        <f t="shared" si="101"/>
        <v>0</v>
      </c>
      <c r="S165" s="476">
        <f t="shared" si="92"/>
        <v>26.8</v>
      </c>
      <c r="T165" s="476">
        <f t="shared" si="112"/>
        <v>55979.28</v>
      </c>
      <c r="U165" t="s">
        <v>162</v>
      </c>
      <c r="V165" s="476">
        <f t="shared" si="113"/>
        <v>20.88</v>
      </c>
      <c r="W165" s="142">
        <f t="shared" si="93"/>
        <v>20.879999999997381</v>
      </c>
      <c r="X165" s="1076"/>
    </row>
    <row r="166" spans="1:24" x14ac:dyDescent="0.2">
      <c r="A166" t="s">
        <v>163</v>
      </c>
      <c r="B166" s="476">
        <f t="shared" si="108"/>
        <v>58380.480000000003</v>
      </c>
      <c r="C166" s="476">
        <f t="shared" si="108"/>
        <v>2432.52</v>
      </c>
      <c r="D166" s="9" t="s">
        <v>158</v>
      </c>
      <c r="E166" s="10">
        <v>6</v>
      </c>
      <c r="F166" s="476">
        <f t="shared" si="88"/>
        <v>58380.480000000003</v>
      </c>
      <c r="G166" s="476">
        <f t="shared" si="89"/>
        <v>2432.52</v>
      </c>
      <c r="H166">
        <f t="shared" si="109"/>
        <v>61011.360000000001</v>
      </c>
      <c r="I166">
        <f t="shared" si="110"/>
        <v>2542.14</v>
      </c>
      <c r="L166" t="s">
        <v>163</v>
      </c>
      <c r="M166" s="142">
        <f t="shared" si="111"/>
        <v>27.96</v>
      </c>
      <c r="N166" s="476">
        <f t="shared" si="94"/>
        <v>0</v>
      </c>
      <c r="O166" s="142">
        <f t="shared" si="90"/>
        <v>27.96</v>
      </c>
      <c r="P166" s="476">
        <f t="shared" si="91"/>
        <v>58380.480000000003</v>
      </c>
      <c r="Q166" s="476"/>
      <c r="R166" s="476">
        <f t="shared" si="101"/>
        <v>0</v>
      </c>
      <c r="S166" s="476">
        <f t="shared" si="92"/>
        <v>27.96</v>
      </c>
      <c r="T166" s="476">
        <f t="shared" si="112"/>
        <v>58380.480000000003</v>
      </c>
      <c r="U166" t="s">
        <v>163</v>
      </c>
      <c r="V166" s="476">
        <f t="shared" si="113"/>
        <v>0</v>
      </c>
      <c r="W166" s="142">
        <f t="shared" si="93"/>
        <v>0</v>
      </c>
      <c r="X166" s="1076"/>
    </row>
    <row r="167" spans="1:24" x14ac:dyDescent="0.2">
      <c r="A167" t="s">
        <v>164</v>
      </c>
      <c r="B167" s="476">
        <f t="shared" si="108"/>
        <v>61011.360000000001</v>
      </c>
      <c r="C167" s="476">
        <f t="shared" si="108"/>
        <v>2542.14</v>
      </c>
      <c r="D167" s="9" t="s">
        <v>158</v>
      </c>
      <c r="E167" s="10">
        <v>7</v>
      </c>
      <c r="F167" s="476">
        <f t="shared" si="88"/>
        <v>61011.360000000001</v>
      </c>
      <c r="G167" s="476">
        <f t="shared" si="89"/>
        <v>2542.14</v>
      </c>
      <c r="H167">
        <f t="shared" si="109"/>
        <v>63746.64</v>
      </c>
      <c r="I167">
        <f t="shared" si="110"/>
        <v>2656.11</v>
      </c>
      <c r="L167" t="s">
        <v>164</v>
      </c>
      <c r="M167" s="142">
        <f t="shared" si="111"/>
        <v>29.22</v>
      </c>
      <c r="N167" s="476">
        <f t="shared" si="94"/>
        <v>0</v>
      </c>
      <c r="O167" s="142">
        <f t="shared" si="90"/>
        <v>29.22</v>
      </c>
      <c r="P167" s="476">
        <f t="shared" si="91"/>
        <v>61011.360000000001</v>
      </c>
      <c r="Q167" s="476"/>
      <c r="R167" s="476">
        <f t="shared" si="101"/>
        <v>0</v>
      </c>
      <c r="S167" s="476">
        <f t="shared" si="92"/>
        <v>29.22</v>
      </c>
      <c r="T167" s="476">
        <f t="shared" si="112"/>
        <v>61011.360000000001</v>
      </c>
      <c r="U167" t="s">
        <v>164</v>
      </c>
      <c r="V167" s="476">
        <f t="shared" si="113"/>
        <v>0</v>
      </c>
      <c r="W167" s="142">
        <f t="shared" si="93"/>
        <v>0</v>
      </c>
      <c r="X167" s="1076"/>
    </row>
    <row r="168" spans="1:24" x14ac:dyDescent="0.2">
      <c r="A168" t="s">
        <v>165</v>
      </c>
      <c r="B168" s="476">
        <f t="shared" si="108"/>
        <v>63746.64</v>
      </c>
      <c r="C168" s="476">
        <f t="shared" si="108"/>
        <v>2656.11</v>
      </c>
      <c r="D168" s="9" t="s">
        <v>158</v>
      </c>
      <c r="E168" s="10">
        <v>8</v>
      </c>
      <c r="F168" s="476">
        <f t="shared" si="88"/>
        <v>63746.64</v>
      </c>
      <c r="G168" s="476">
        <f t="shared" si="89"/>
        <v>2656.11</v>
      </c>
      <c r="H168">
        <f t="shared" si="109"/>
        <v>66628.08</v>
      </c>
      <c r="I168">
        <f t="shared" si="110"/>
        <v>2776.17</v>
      </c>
      <c r="L168" t="s">
        <v>165</v>
      </c>
      <c r="M168" s="142">
        <f t="shared" si="111"/>
        <v>30.53</v>
      </c>
      <c r="N168" s="476">
        <f t="shared" si="94"/>
        <v>0</v>
      </c>
      <c r="O168" s="142">
        <f t="shared" si="90"/>
        <v>30.53</v>
      </c>
      <c r="P168" s="476">
        <f t="shared" si="91"/>
        <v>63746.64</v>
      </c>
      <c r="Q168" s="476"/>
      <c r="R168" s="476">
        <f t="shared" si="101"/>
        <v>0</v>
      </c>
      <c r="S168" s="476">
        <f t="shared" si="92"/>
        <v>30.53</v>
      </c>
      <c r="T168" s="476">
        <f t="shared" si="112"/>
        <v>63746.64</v>
      </c>
      <c r="U168" t="s">
        <v>165</v>
      </c>
      <c r="V168" s="476">
        <f t="shared" si="113"/>
        <v>0</v>
      </c>
      <c r="W168" s="142">
        <f t="shared" si="93"/>
        <v>0</v>
      </c>
      <c r="X168" s="1076"/>
    </row>
    <row r="169" spans="1:24" x14ac:dyDescent="0.2">
      <c r="A169" t="s">
        <v>265</v>
      </c>
      <c r="B169" s="478">
        <f t="shared" si="108"/>
        <v>66628.08</v>
      </c>
      <c r="C169" s="478">
        <f t="shared" si="108"/>
        <v>2776.17</v>
      </c>
      <c r="D169" s="9">
        <v>33</v>
      </c>
      <c r="E169" s="10">
        <v>9</v>
      </c>
      <c r="F169" s="476">
        <f t="shared" si="88"/>
        <v>66628.08</v>
      </c>
      <c r="G169" s="476">
        <f t="shared" si="89"/>
        <v>2776.17</v>
      </c>
      <c r="H169">
        <f t="shared" si="109"/>
        <v>69739.199999999997</v>
      </c>
      <c r="I169">
        <f t="shared" si="110"/>
        <v>2905.7999999999997</v>
      </c>
      <c r="L169" t="s">
        <v>265</v>
      </c>
      <c r="M169" s="143">
        <f t="shared" si="111"/>
        <v>31.91</v>
      </c>
      <c r="N169" s="476">
        <f t="shared" si="94"/>
        <v>0</v>
      </c>
      <c r="O169" s="142">
        <f t="shared" si="90"/>
        <v>31.91</v>
      </c>
      <c r="P169" s="476">
        <f t="shared" si="91"/>
        <v>66628.08</v>
      </c>
      <c r="Q169" s="476"/>
      <c r="R169" s="476">
        <f t="shared" si="101"/>
        <v>0</v>
      </c>
      <c r="S169" s="476">
        <f t="shared" si="92"/>
        <v>31.91</v>
      </c>
      <c r="T169" s="478">
        <f t="shared" si="112"/>
        <v>66628.08</v>
      </c>
      <c r="U169" t="s">
        <v>265</v>
      </c>
      <c r="V169" s="478">
        <f t="shared" si="113"/>
        <v>0</v>
      </c>
      <c r="W169" s="142">
        <f t="shared" si="93"/>
        <v>0</v>
      </c>
      <c r="X169" s="1076"/>
    </row>
    <row r="170" spans="1:24" x14ac:dyDescent="0.2">
      <c r="A170" t="s">
        <v>301</v>
      </c>
      <c r="B170" s="477">
        <f>P170</f>
        <v>69739.199999999997</v>
      </c>
      <c r="C170" s="477">
        <f>B170/24</f>
        <v>2905.7999999999997</v>
      </c>
      <c r="D170" s="9">
        <v>33</v>
      </c>
      <c r="E170" s="10">
        <v>10</v>
      </c>
      <c r="F170" s="476">
        <f t="shared" si="88"/>
        <v>69739.199999999997</v>
      </c>
      <c r="G170" s="476">
        <f t="shared" si="89"/>
        <v>2905.7999999999997</v>
      </c>
      <c r="H170">
        <f>F170</f>
        <v>69739.199999999997</v>
      </c>
      <c r="I170">
        <f>G170</f>
        <v>2905.7999999999997</v>
      </c>
      <c r="L170" t="s">
        <v>301</v>
      </c>
      <c r="M170" s="612">
        <v>33.4</v>
      </c>
      <c r="N170" s="476">
        <f t="shared" si="94"/>
        <v>0</v>
      </c>
      <c r="O170" s="142">
        <f t="shared" si="90"/>
        <v>33.4</v>
      </c>
      <c r="P170" s="476">
        <f t="shared" si="91"/>
        <v>69739.199999999997</v>
      </c>
      <c r="Q170" s="476"/>
      <c r="R170" s="476">
        <f t="shared" si="101"/>
        <v>0</v>
      </c>
      <c r="S170" s="476">
        <f t="shared" si="92"/>
        <v>33.4</v>
      </c>
      <c r="T170" s="477">
        <f>S170*$T$9</f>
        <v>69739.199999999997</v>
      </c>
      <c r="U170" t="s">
        <v>301</v>
      </c>
      <c r="V170" s="142">
        <f>R170*2088</f>
        <v>0</v>
      </c>
      <c r="W170" s="142">
        <f t="shared" si="93"/>
        <v>0</v>
      </c>
      <c r="X170" s="1076"/>
    </row>
    <row r="171" spans="1:24" x14ac:dyDescent="0.2">
      <c r="A171" t="s">
        <v>166</v>
      </c>
      <c r="B171" s="476">
        <f t="shared" ref="B171:C179" si="114">B162</f>
        <v>49151.519999999997</v>
      </c>
      <c r="C171" s="476">
        <f t="shared" si="114"/>
        <v>2047.9799999999998</v>
      </c>
      <c r="D171" s="9" t="s">
        <v>167</v>
      </c>
      <c r="E171" s="10" t="s">
        <v>23</v>
      </c>
      <c r="F171" s="476">
        <f t="shared" si="88"/>
        <v>49151.519999999997</v>
      </c>
      <c r="G171" s="476">
        <f t="shared" si="89"/>
        <v>2047.9799999999998</v>
      </c>
      <c r="H171">
        <f t="shared" ref="H171:H179" si="115">F172</f>
        <v>51281.279999999999</v>
      </c>
      <c r="I171">
        <f t="shared" ref="I171:I179" si="116">G172</f>
        <v>2136.7199999999998</v>
      </c>
      <c r="L171" t="s">
        <v>166</v>
      </c>
      <c r="M171" s="142">
        <f t="shared" ref="M171:M179" si="117">M162</f>
        <v>23.54</v>
      </c>
      <c r="N171" s="476">
        <f t="shared" si="94"/>
        <v>0</v>
      </c>
      <c r="O171" s="142">
        <f t="shared" si="90"/>
        <v>23.54</v>
      </c>
      <c r="P171" s="476">
        <f t="shared" si="91"/>
        <v>49151.519999999997</v>
      </c>
      <c r="Q171" s="476"/>
      <c r="R171" s="476">
        <f t="shared" si="101"/>
        <v>0</v>
      </c>
      <c r="S171" s="476">
        <f t="shared" si="92"/>
        <v>23.54</v>
      </c>
      <c r="T171" s="476">
        <f t="shared" ref="T171:T179" si="118">T162</f>
        <v>49151.519999999997</v>
      </c>
      <c r="U171" t="s">
        <v>166</v>
      </c>
      <c r="V171" s="476">
        <f t="shared" ref="V171:V179" si="119">V162</f>
        <v>0</v>
      </c>
      <c r="W171" s="142">
        <f t="shared" si="93"/>
        <v>0</v>
      </c>
      <c r="X171" s="1076"/>
    </row>
    <row r="172" spans="1:24" x14ac:dyDescent="0.2">
      <c r="A172" t="s">
        <v>168</v>
      </c>
      <c r="B172" s="476">
        <f t="shared" si="114"/>
        <v>51281.279999999999</v>
      </c>
      <c r="C172" s="476">
        <f t="shared" si="114"/>
        <v>2136.7199999999998</v>
      </c>
      <c r="D172" s="9" t="s">
        <v>167</v>
      </c>
      <c r="E172" s="10">
        <v>2</v>
      </c>
      <c r="F172" s="476">
        <f t="shared" si="88"/>
        <v>51281.279999999999</v>
      </c>
      <c r="G172" s="476">
        <f t="shared" si="89"/>
        <v>2136.7199999999998</v>
      </c>
      <c r="H172">
        <f t="shared" si="115"/>
        <v>53598.960000000006</v>
      </c>
      <c r="I172">
        <f t="shared" si="116"/>
        <v>2233.2900000000004</v>
      </c>
      <c r="L172" t="s">
        <v>168</v>
      </c>
      <c r="M172" s="142">
        <f t="shared" si="117"/>
        <v>24.56</v>
      </c>
      <c r="N172" s="476">
        <f t="shared" si="94"/>
        <v>0</v>
      </c>
      <c r="O172" s="142">
        <f t="shared" si="90"/>
        <v>24.56</v>
      </c>
      <c r="P172" s="476">
        <f t="shared" si="91"/>
        <v>51281.279999999999</v>
      </c>
      <c r="Q172" s="476"/>
      <c r="R172" s="476">
        <f t="shared" si="101"/>
        <v>0</v>
      </c>
      <c r="S172" s="476">
        <f t="shared" si="92"/>
        <v>24.56</v>
      </c>
      <c r="T172" s="476">
        <f t="shared" si="118"/>
        <v>51281.279999999999</v>
      </c>
      <c r="U172" t="s">
        <v>168</v>
      </c>
      <c r="V172" s="476">
        <f t="shared" si="119"/>
        <v>0</v>
      </c>
      <c r="W172" s="142">
        <f t="shared" si="93"/>
        <v>0</v>
      </c>
      <c r="X172" s="1076"/>
    </row>
    <row r="173" spans="1:24" x14ac:dyDescent="0.2">
      <c r="A173" t="s">
        <v>169</v>
      </c>
      <c r="B173" s="476">
        <f t="shared" si="114"/>
        <v>53598.960000000006</v>
      </c>
      <c r="C173" s="476">
        <f t="shared" si="114"/>
        <v>2233.2900000000004</v>
      </c>
      <c r="D173" s="9" t="s">
        <v>167</v>
      </c>
      <c r="E173" s="10">
        <v>3</v>
      </c>
      <c r="F173" s="476">
        <f t="shared" si="88"/>
        <v>53598.960000000006</v>
      </c>
      <c r="G173" s="476">
        <f t="shared" si="89"/>
        <v>2233.2900000000004</v>
      </c>
      <c r="H173">
        <f t="shared" si="115"/>
        <v>55958.400000000001</v>
      </c>
      <c r="I173">
        <f t="shared" si="116"/>
        <v>2331.6</v>
      </c>
      <c r="L173" t="s">
        <v>169</v>
      </c>
      <c r="M173" s="142">
        <f t="shared" si="117"/>
        <v>25.67</v>
      </c>
      <c r="N173" s="476">
        <f t="shared" si="94"/>
        <v>0</v>
      </c>
      <c r="O173" s="142">
        <f t="shared" si="90"/>
        <v>25.67</v>
      </c>
      <c r="P173" s="476">
        <f t="shared" si="91"/>
        <v>53598.960000000006</v>
      </c>
      <c r="Q173" s="476"/>
      <c r="R173" s="476">
        <f t="shared" si="101"/>
        <v>0</v>
      </c>
      <c r="S173" s="476">
        <f t="shared" si="92"/>
        <v>25.67</v>
      </c>
      <c r="T173" s="476">
        <f t="shared" si="118"/>
        <v>53598.960000000006</v>
      </c>
      <c r="U173" t="s">
        <v>169</v>
      </c>
      <c r="V173" s="476">
        <f t="shared" si="119"/>
        <v>0</v>
      </c>
      <c r="W173" s="142">
        <f t="shared" si="93"/>
        <v>0</v>
      </c>
      <c r="X173" s="1076"/>
    </row>
    <row r="174" spans="1:24" x14ac:dyDescent="0.2">
      <c r="A174" t="s">
        <v>170</v>
      </c>
      <c r="B174" s="476">
        <f t="shared" si="114"/>
        <v>55958.400000000001</v>
      </c>
      <c r="C174" s="476">
        <f t="shared" si="114"/>
        <v>2331.6</v>
      </c>
      <c r="D174" s="9" t="s">
        <v>167</v>
      </c>
      <c r="E174" s="10">
        <v>4</v>
      </c>
      <c r="F174" s="476">
        <f t="shared" si="88"/>
        <v>55958.400000000001</v>
      </c>
      <c r="G174" s="476">
        <f t="shared" si="89"/>
        <v>2331.6</v>
      </c>
      <c r="H174">
        <f t="shared" si="115"/>
        <v>58380.480000000003</v>
      </c>
      <c r="I174">
        <f t="shared" si="116"/>
        <v>2432.52</v>
      </c>
      <c r="L174" t="s">
        <v>170</v>
      </c>
      <c r="M174" s="142">
        <f t="shared" si="117"/>
        <v>26.8</v>
      </c>
      <c r="N174" s="476">
        <f t="shared" si="94"/>
        <v>0</v>
      </c>
      <c r="O174" s="142">
        <f t="shared" si="90"/>
        <v>26.8</v>
      </c>
      <c r="P174" s="476">
        <f t="shared" si="91"/>
        <v>55958.400000000001</v>
      </c>
      <c r="Q174" s="476"/>
      <c r="R174" s="476">
        <f t="shared" si="101"/>
        <v>0</v>
      </c>
      <c r="S174" s="476">
        <f t="shared" si="92"/>
        <v>26.8</v>
      </c>
      <c r="T174" s="476">
        <f t="shared" si="118"/>
        <v>55979.28</v>
      </c>
      <c r="U174" t="s">
        <v>170</v>
      </c>
      <c r="V174" s="476">
        <f t="shared" si="119"/>
        <v>20.88</v>
      </c>
      <c r="W174" s="142">
        <f t="shared" si="93"/>
        <v>20.879999999997381</v>
      </c>
      <c r="X174" s="1076"/>
    </row>
    <row r="175" spans="1:24" x14ac:dyDescent="0.2">
      <c r="A175" t="s">
        <v>171</v>
      </c>
      <c r="B175" s="476">
        <f t="shared" si="114"/>
        <v>58380.480000000003</v>
      </c>
      <c r="C175" s="476">
        <f t="shared" si="114"/>
        <v>2432.52</v>
      </c>
      <c r="D175" s="9" t="s">
        <v>167</v>
      </c>
      <c r="E175" s="10">
        <v>5</v>
      </c>
      <c r="F175" s="476">
        <f t="shared" si="88"/>
        <v>58380.480000000003</v>
      </c>
      <c r="G175" s="476">
        <f t="shared" si="89"/>
        <v>2432.52</v>
      </c>
      <c r="H175">
        <f t="shared" si="115"/>
        <v>61011.360000000001</v>
      </c>
      <c r="I175">
        <f t="shared" si="116"/>
        <v>2542.14</v>
      </c>
      <c r="L175" t="s">
        <v>171</v>
      </c>
      <c r="M175" s="142">
        <f t="shared" si="117"/>
        <v>27.96</v>
      </c>
      <c r="N175" s="476">
        <f t="shared" si="94"/>
        <v>0</v>
      </c>
      <c r="O175" s="142">
        <f t="shared" si="90"/>
        <v>27.96</v>
      </c>
      <c r="P175" s="476">
        <f t="shared" si="91"/>
        <v>58380.480000000003</v>
      </c>
      <c r="Q175" s="476"/>
      <c r="R175" s="476">
        <f t="shared" si="101"/>
        <v>0</v>
      </c>
      <c r="S175" s="476">
        <f t="shared" si="92"/>
        <v>27.96</v>
      </c>
      <c r="T175" s="476">
        <f t="shared" si="118"/>
        <v>58380.480000000003</v>
      </c>
      <c r="U175" t="s">
        <v>171</v>
      </c>
      <c r="V175" s="476">
        <f t="shared" si="119"/>
        <v>0</v>
      </c>
      <c r="W175" s="142">
        <f t="shared" si="93"/>
        <v>0</v>
      </c>
      <c r="X175" s="1076"/>
    </row>
    <row r="176" spans="1:24" x14ac:dyDescent="0.2">
      <c r="A176" t="s">
        <v>172</v>
      </c>
      <c r="B176" s="476">
        <f t="shared" si="114"/>
        <v>61011.360000000001</v>
      </c>
      <c r="C176" s="476">
        <f t="shared" si="114"/>
        <v>2542.14</v>
      </c>
      <c r="D176" s="9" t="s">
        <v>167</v>
      </c>
      <c r="E176" s="10">
        <v>6</v>
      </c>
      <c r="F176" s="476">
        <f t="shared" si="88"/>
        <v>61011.360000000001</v>
      </c>
      <c r="G176" s="476">
        <f t="shared" si="89"/>
        <v>2542.14</v>
      </c>
      <c r="H176">
        <f t="shared" si="115"/>
        <v>63746.64</v>
      </c>
      <c r="I176">
        <f t="shared" si="116"/>
        <v>2656.11</v>
      </c>
      <c r="L176" t="s">
        <v>172</v>
      </c>
      <c r="M176" s="142">
        <f t="shared" si="117"/>
        <v>29.22</v>
      </c>
      <c r="N176" s="476">
        <f t="shared" si="94"/>
        <v>0</v>
      </c>
      <c r="O176" s="142">
        <f t="shared" si="90"/>
        <v>29.22</v>
      </c>
      <c r="P176" s="476">
        <f t="shared" si="91"/>
        <v>61011.360000000001</v>
      </c>
      <c r="Q176" s="476"/>
      <c r="R176" s="476">
        <f t="shared" si="101"/>
        <v>0</v>
      </c>
      <c r="S176" s="476">
        <f t="shared" si="92"/>
        <v>29.22</v>
      </c>
      <c r="T176" s="476">
        <f t="shared" si="118"/>
        <v>61011.360000000001</v>
      </c>
      <c r="U176" t="s">
        <v>172</v>
      </c>
      <c r="V176" s="476">
        <f t="shared" si="119"/>
        <v>0</v>
      </c>
      <c r="W176" s="142">
        <f t="shared" si="93"/>
        <v>0</v>
      </c>
      <c r="X176" s="1076"/>
    </row>
    <row r="177" spans="1:24" x14ac:dyDescent="0.2">
      <c r="A177" t="s">
        <v>173</v>
      </c>
      <c r="B177" s="476">
        <f t="shared" si="114"/>
        <v>63746.64</v>
      </c>
      <c r="C177" s="476">
        <f t="shared" si="114"/>
        <v>2656.11</v>
      </c>
      <c r="D177" s="9" t="s">
        <v>167</v>
      </c>
      <c r="E177" s="10">
        <v>7</v>
      </c>
      <c r="F177" s="476">
        <f t="shared" si="88"/>
        <v>63746.64</v>
      </c>
      <c r="G177" s="476">
        <f t="shared" si="89"/>
        <v>2656.11</v>
      </c>
      <c r="H177">
        <f t="shared" si="115"/>
        <v>66628.08</v>
      </c>
      <c r="I177">
        <f t="shared" si="116"/>
        <v>2776.17</v>
      </c>
      <c r="L177" t="s">
        <v>173</v>
      </c>
      <c r="M177" s="142">
        <f t="shared" si="117"/>
        <v>30.53</v>
      </c>
      <c r="N177" s="476">
        <f t="shared" si="94"/>
        <v>0</v>
      </c>
      <c r="O177" s="142">
        <f t="shared" si="90"/>
        <v>30.53</v>
      </c>
      <c r="P177" s="476">
        <f t="shared" si="91"/>
        <v>63746.64</v>
      </c>
      <c r="Q177" s="476"/>
      <c r="R177" s="476">
        <f t="shared" si="101"/>
        <v>0</v>
      </c>
      <c r="S177" s="476">
        <f t="shared" si="92"/>
        <v>30.53</v>
      </c>
      <c r="T177" s="476">
        <f t="shared" si="118"/>
        <v>63746.64</v>
      </c>
      <c r="U177" t="s">
        <v>173</v>
      </c>
      <c r="V177" s="476">
        <f t="shared" si="119"/>
        <v>0</v>
      </c>
      <c r="W177" s="142">
        <f t="shared" si="93"/>
        <v>0</v>
      </c>
      <c r="X177" s="1076"/>
    </row>
    <row r="178" spans="1:24" x14ac:dyDescent="0.2">
      <c r="A178" t="s">
        <v>174</v>
      </c>
      <c r="B178" s="476">
        <f t="shared" si="114"/>
        <v>66628.08</v>
      </c>
      <c r="C178" s="476">
        <f t="shared" si="114"/>
        <v>2776.17</v>
      </c>
      <c r="D178" s="9" t="s">
        <v>167</v>
      </c>
      <c r="E178" s="10">
        <v>8</v>
      </c>
      <c r="F178" s="476">
        <f t="shared" si="88"/>
        <v>66628.08</v>
      </c>
      <c r="G178" s="476">
        <f t="shared" si="89"/>
        <v>2776.17</v>
      </c>
      <c r="H178">
        <f t="shared" si="115"/>
        <v>69739.199999999997</v>
      </c>
      <c r="I178">
        <f t="shared" si="116"/>
        <v>2905.7999999999997</v>
      </c>
      <c r="L178" t="s">
        <v>174</v>
      </c>
      <c r="M178" s="142">
        <f t="shared" si="117"/>
        <v>31.91</v>
      </c>
      <c r="N178" s="476">
        <f t="shared" si="94"/>
        <v>0</v>
      </c>
      <c r="O178" s="142">
        <f t="shared" si="90"/>
        <v>31.91</v>
      </c>
      <c r="P178" s="476">
        <f t="shared" si="91"/>
        <v>66628.08</v>
      </c>
      <c r="Q178" s="476"/>
      <c r="R178" s="476">
        <f t="shared" si="101"/>
        <v>0</v>
      </c>
      <c r="S178" s="476">
        <f t="shared" si="92"/>
        <v>31.91</v>
      </c>
      <c r="T178" s="476">
        <f t="shared" si="118"/>
        <v>66628.08</v>
      </c>
      <c r="U178" t="s">
        <v>174</v>
      </c>
      <c r="V178" s="476">
        <f t="shared" si="119"/>
        <v>0</v>
      </c>
      <c r="W178" s="142">
        <f t="shared" si="93"/>
        <v>0</v>
      </c>
      <c r="X178" s="1076"/>
    </row>
    <row r="179" spans="1:24" x14ac:dyDescent="0.2">
      <c r="A179" t="s">
        <v>266</v>
      </c>
      <c r="B179" s="478">
        <f t="shared" si="114"/>
        <v>69739.199999999997</v>
      </c>
      <c r="C179" s="478">
        <f t="shared" si="114"/>
        <v>2905.7999999999997</v>
      </c>
      <c r="D179" s="9">
        <v>34</v>
      </c>
      <c r="E179" s="10">
        <v>9</v>
      </c>
      <c r="F179" s="476">
        <f t="shared" si="88"/>
        <v>69739.199999999997</v>
      </c>
      <c r="G179" s="476">
        <f t="shared" si="89"/>
        <v>2905.7999999999997</v>
      </c>
      <c r="H179">
        <f t="shared" si="115"/>
        <v>72871.199999999997</v>
      </c>
      <c r="I179">
        <f t="shared" si="116"/>
        <v>3036.2999999999997</v>
      </c>
      <c r="L179" t="s">
        <v>266</v>
      </c>
      <c r="M179" s="143">
        <f t="shared" si="117"/>
        <v>33.4</v>
      </c>
      <c r="N179" s="476">
        <f t="shared" si="94"/>
        <v>0</v>
      </c>
      <c r="O179" s="142">
        <f t="shared" si="90"/>
        <v>33.4</v>
      </c>
      <c r="P179" s="476">
        <f t="shared" si="91"/>
        <v>69739.199999999997</v>
      </c>
      <c r="Q179" s="476"/>
      <c r="R179" s="476">
        <f t="shared" si="101"/>
        <v>0</v>
      </c>
      <c r="S179" s="476">
        <f t="shared" si="92"/>
        <v>33.4</v>
      </c>
      <c r="T179" s="478">
        <f t="shared" si="118"/>
        <v>69739.199999999997</v>
      </c>
      <c r="U179" t="s">
        <v>266</v>
      </c>
      <c r="V179" s="478">
        <f t="shared" si="119"/>
        <v>0</v>
      </c>
      <c r="W179" s="142">
        <f t="shared" si="93"/>
        <v>0</v>
      </c>
      <c r="X179" s="1076"/>
    </row>
    <row r="180" spans="1:24" x14ac:dyDescent="0.2">
      <c r="A180" t="s">
        <v>302</v>
      </c>
      <c r="B180" s="477">
        <f>P180</f>
        <v>72871.199999999997</v>
      </c>
      <c r="C180" s="477">
        <f>B180/24</f>
        <v>3036.2999999999997</v>
      </c>
      <c r="D180" s="9">
        <v>34</v>
      </c>
      <c r="E180" s="10">
        <v>10</v>
      </c>
      <c r="F180" s="476">
        <f t="shared" si="88"/>
        <v>72871.199999999997</v>
      </c>
      <c r="G180" s="476">
        <f t="shared" si="89"/>
        <v>3036.2999999999997</v>
      </c>
      <c r="H180">
        <f>F180</f>
        <v>72871.199999999997</v>
      </c>
      <c r="I180">
        <f>G180</f>
        <v>3036.2999999999997</v>
      </c>
      <c r="L180" t="s">
        <v>302</v>
      </c>
      <c r="M180" s="612">
        <v>34.9</v>
      </c>
      <c r="N180" s="476">
        <f t="shared" si="94"/>
        <v>0</v>
      </c>
      <c r="O180" s="142">
        <f t="shared" si="90"/>
        <v>34.9</v>
      </c>
      <c r="P180" s="476">
        <f t="shared" si="91"/>
        <v>72871.199999999997</v>
      </c>
      <c r="Q180" s="476"/>
      <c r="R180" s="476">
        <f t="shared" si="101"/>
        <v>0</v>
      </c>
      <c r="S180" s="476">
        <f t="shared" si="92"/>
        <v>34.9</v>
      </c>
      <c r="T180" s="477">
        <f>S180*$T$9</f>
        <v>72871.199999999997</v>
      </c>
      <c r="U180" t="s">
        <v>302</v>
      </c>
      <c r="V180" s="142">
        <f>R180*2088</f>
        <v>0</v>
      </c>
      <c r="W180" s="142">
        <f t="shared" si="93"/>
        <v>0</v>
      </c>
      <c r="X180" s="1076"/>
    </row>
    <row r="181" spans="1:24" x14ac:dyDescent="0.2">
      <c r="A181" t="s">
        <v>175</v>
      </c>
      <c r="B181" s="476">
        <f t="shared" ref="B181:C189" si="120">B172</f>
        <v>51281.279999999999</v>
      </c>
      <c r="C181" s="476">
        <f t="shared" si="120"/>
        <v>2136.7199999999998</v>
      </c>
      <c r="D181" s="9" t="s">
        <v>176</v>
      </c>
      <c r="E181" s="10" t="s">
        <v>23</v>
      </c>
      <c r="F181" s="476">
        <f t="shared" si="88"/>
        <v>51281.279999999999</v>
      </c>
      <c r="G181" s="476">
        <f t="shared" si="89"/>
        <v>2136.7199999999998</v>
      </c>
      <c r="H181">
        <f t="shared" ref="H181:H189" si="121">F182</f>
        <v>53598.960000000006</v>
      </c>
      <c r="I181">
        <f t="shared" ref="I181:I189" si="122">G182</f>
        <v>2233.2900000000004</v>
      </c>
      <c r="L181" t="s">
        <v>175</v>
      </c>
      <c r="M181" s="142">
        <f t="shared" ref="M181:M189" si="123">M172</f>
        <v>24.56</v>
      </c>
      <c r="N181" s="476">
        <f t="shared" si="94"/>
        <v>0</v>
      </c>
      <c r="O181" s="142">
        <f t="shared" si="90"/>
        <v>24.56</v>
      </c>
      <c r="P181" s="476">
        <f t="shared" si="91"/>
        <v>51281.279999999999</v>
      </c>
      <c r="Q181" s="476"/>
      <c r="R181" s="476">
        <f t="shared" si="101"/>
        <v>0</v>
      </c>
      <c r="S181" s="476">
        <f t="shared" si="92"/>
        <v>24.56</v>
      </c>
      <c r="T181" s="476">
        <f t="shared" ref="T181:T189" si="124">T172</f>
        <v>51281.279999999999</v>
      </c>
      <c r="U181" t="s">
        <v>175</v>
      </c>
      <c r="V181" s="476">
        <f t="shared" ref="V181:V189" si="125">V172</f>
        <v>0</v>
      </c>
      <c r="W181" s="142">
        <f t="shared" si="93"/>
        <v>0</v>
      </c>
      <c r="X181" s="1076"/>
    </row>
    <row r="182" spans="1:24" x14ac:dyDescent="0.2">
      <c r="A182" t="s">
        <v>177</v>
      </c>
      <c r="B182" s="476">
        <f t="shared" si="120"/>
        <v>53598.960000000006</v>
      </c>
      <c r="C182" s="476">
        <f t="shared" si="120"/>
        <v>2233.2900000000004</v>
      </c>
      <c r="D182" s="9" t="s">
        <v>176</v>
      </c>
      <c r="E182" s="10">
        <v>2</v>
      </c>
      <c r="F182" s="476">
        <f t="shared" si="88"/>
        <v>53598.960000000006</v>
      </c>
      <c r="G182" s="476">
        <f t="shared" si="89"/>
        <v>2233.2900000000004</v>
      </c>
      <c r="H182">
        <f t="shared" si="121"/>
        <v>55958.400000000001</v>
      </c>
      <c r="I182">
        <f t="shared" si="122"/>
        <v>2331.6</v>
      </c>
      <c r="L182" t="s">
        <v>177</v>
      </c>
      <c r="M182" s="142">
        <f t="shared" si="123"/>
        <v>25.67</v>
      </c>
      <c r="N182" s="476">
        <f t="shared" si="94"/>
        <v>0</v>
      </c>
      <c r="O182" s="142">
        <f t="shared" si="90"/>
        <v>25.67</v>
      </c>
      <c r="P182" s="476">
        <f t="shared" si="91"/>
        <v>53598.960000000006</v>
      </c>
      <c r="Q182" s="476"/>
      <c r="R182" s="476">
        <f t="shared" si="101"/>
        <v>0</v>
      </c>
      <c r="S182" s="476">
        <f t="shared" si="92"/>
        <v>25.67</v>
      </c>
      <c r="T182" s="476">
        <f t="shared" si="124"/>
        <v>53598.960000000006</v>
      </c>
      <c r="U182" t="s">
        <v>177</v>
      </c>
      <c r="V182" s="476">
        <f t="shared" si="125"/>
        <v>0</v>
      </c>
      <c r="W182" s="142">
        <f t="shared" si="93"/>
        <v>0</v>
      </c>
      <c r="X182" s="1076"/>
    </row>
    <row r="183" spans="1:24" x14ac:dyDescent="0.2">
      <c r="A183" t="s">
        <v>178</v>
      </c>
      <c r="B183" s="476">
        <f t="shared" si="120"/>
        <v>55958.400000000001</v>
      </c>
      <c r="C183" s="476">
        <f t="shared" si="120"/>
        <v>2331.6</v>
      </c>
      <c r="D183" s="9" t="s">
        <v>176</v>
      </c>
      <c r="E183" s="10">
        <v>3</v>
      </c>
      <c r="F183" s="476">
        <f t="shared" si="88"/>
        <v>55958.400000000001</v>
      </c>
      <c r="G183" s="476">
        <f t="shared" si="89"/>
        <v>2331.6</v>
      </c>
      <c r="H183">
        <f t="shared" si="121"/>
        <v>58380.480000000003</v>
      </c>
      <c r="I183">
        <f t="shared" si="122"/>
        <v>2432.52</v>
      </c>
      <c r="L183" t="s">
        <v>178</v>
      </c>
      <c r="M183" s="142">
        <f t="shared" si="123"/>
        <v>26.8</v>
      </c>
      <c r="N183" s="476">
        <f t="shared" si="94"/>
        <v>0</v>
      </c>
      <c r="O183" s="142">
        <f t="shared" si="90"/>
        <v>26.8</v>
      </c>
      <c r="P183" s="476">
        <f t="shared" si="91"/>
        <v>55958.400000000001</v>
      </c>
      <c r="Q183" s="476"/>
      <c r="R183" s="476">
        <f t="shared" si="101"/>
        <v>0</v>
      </c>
      <c r="S183" s="476">
        <f t="shared" si="92"/>
        <v>26.8</v>
      </c>
      <c r="T183" s="476">
        <f t="shared" si="124"/>
        <v>55979.28</v>
      </c>
      <c r="U183" t="s">
        <v>178</v>
      </c>
      <c r="V183" s="476">
        <f t="shared" si="125"/>
        <v>20.88</v>
      </c>
      <c r="W183" s="142">
        <f t="shared" si="93"/>
        <v>20.879999999997381</v>
      </c>
      <c r="X183" s="1076"/>
    </row>
    <row r="184" spans="1:24" x14ac:dyDescent="0.2">
      <c r="A184" t="s">
        <v>179</v>
      </c>
      <c r="B184" s="476">
        <f t="shared" si="120"/>
        <v>58380.480000000003</v>
      </c>
      <c r="C184" s="476">
        <f t="shared" si="120"/>
        <v>2432.52</v>
      </c>
      <c r="D184" s="9" t="s">
        <v>176</v>
      </c>
      <c r="E184" s="10">
        <v>4</v>
      </c>
      <c r="F184" s="476">
        <f t="shared" si="88"/>
        <v>58380.480000000003</v>
      </c>
      <c r="G184" s="476">
        <f t="shared" si="89"/>
        <v>2432.52</v>
      </c>
      <c r="H184">
        <f t="shared" si="121"/>
        <v>61011.360000000001</v>
      </c>
      <c r="I184">
        <f t="shared" si="122"/>
        <v>2542.14</v>
      </c>
      <c r="L184" t="s">
        <v>179</v>
      </c>
      <c r="M184" s="142">
        <f t="shared" si="123"/>
        <v>27.96</v>
      </c>
      <c r="N184" s="476">
        <f t="shared" si="94"/>
        <v>0</v>
      </c>
      <c r="O184" s="142">
        <f t="shared" si="90"/>
        <v>27.96</v>
      </c>
      <c r="P184" s="476">
        <f t="shared" si="91"/>
        <v>58380.480000000003</v>
      </c>
      <c r="Q184" s="476"/>
      <c r="R184" s="476">
        <f t="shared" si="101"/>
        <v>0</v>
      </c>
      <c r="S184" s="476">
        <f t="shared" si="92"/>
        <v>27.96</v>
      </c>
      <c r="T184" s="476">
        <f t="shared" si="124"/>
        <v>58380.480000000003</v>
      </c>
      <c r="U184" t="s">
        <v>179</v>
      </c>
      <c r="V184" s="476">
        <f t="shared" si="125"/>
        <v>0</v>
      </c>
      <c r="W184" s="142">
        <f t="shared" si="93"/>
        <v>0</v>
      </c>
      <c r="X184" s="1076"/>
    </row>
    <row r="185" spans="1:24" x14ac:dyDescent="0.2">
      <c r="A185" t="s">
        <v>180</v>
      </c>
      <c r="B185" s="476">
        <f t="shared" si="120"/>
        <v>61011.360000000001</v>
      </c>
      <c r="C185" s="476">
        <f t="shared" si="120"/>
        <v>2542.14</v>
      </c>
      <c r="D185" s="9" t="s">
        <v>176</v>
      </c>
      <c r="E185" s="10">
        <v>5</v>
      </c>
      <c r="F185" s="476">
        <f t="shared" si="88"/>
        <v>61011.360000000001</v>
      </c>
      <c r="G185" s="476">
        <f t="shared" si="89"/>
        <v>2542.14</v>
      </c>
      <c r="H185">
        <f t="shared" si="121"/>
        <v>63746.64</v>
      </c>
      <c r="I185">
        <f t="shared" si="122"/>
        <v>2656.11</v>
      </c>
      <c r="L185" t="s">
        <v>180</v>
      </c>
      <c r="M185" s="142">
        <f t="shared" si="123"/>
        <v>29.22</v>
      </c>
      <c r="N185" s="476">
        <f t="shared" si="94"/>
        <v>0</v>
      </c>
      <c r="O185" s="142">
        <f t="shared" si="90"/>
        <v>29.22</v>
      </c>
      <c r="P185" s="476">
        <f t="shared" si="91"/>
        <v>61011.360000000001</v>
      </c>
      <c r="Q185" s="476"/>
      <c r="R185" s="476">
        <f t="shared" si="101"/>
        <v>0</v>
      </c>
      <c r="S185" s="476">
        <f t="shared" si="92"/>
        <v>29.22</v>
      </c>
      <c r="T185" s="476">
        <f t="shared" si="124"/>
        <v>61011.360000000001</v>
      </c>
      <c r="U185" t="s">
        <v>180</v>
      </c>
      <c r="V185" s="476">
        <f t="shared" si="125"/>
        <v>0</v>
      </c>
      <c r="W185" s="142">
        <f t="shared" si="93"/>
        <v>0</v>
      </c>
      <c r="X185" s="1076"/>
    </row>
    <row r="186" spans="1:24" x14ac:dyDescent="0.2">
      <c r="A186" t="s">
        <v>181</v>
      </c>
      <c r="B186" s="476">
        <f t="shared" si="120"/>
        <v>63746.64</v>
      </c>
      <c r="C186" s="476">
        <f t="shared" si="120"/>
        <v>2656.11</v>
      </c>
      <c r="D186" s="9" t="s">
        <v>176</v>
      </c>
      <c r="E186" s="10">
        <v>6</v>
      </c>
      <c r="F186" s="476">
        <f t="shared" si="88"/>
        <v>63746.64</v>
      </c>
      <c r="G186" s="476">
        <f t="shared" si="89"/>
        <v>2656.11</v>
      </c>
      <c r="H186">
        <f t="shared" si="121"/>
        <v>66628.08</v>
      </c>
      <c r="I186">
        <f t="shared" si="122"/>
        <v>2776.17</v>
      </c>
      <c r="L186" t="s">
        <v>181</v>
      </c>
      <c r="M186" s="142">
        <f t="shared" si="123"/>
        <v>30.53</v>
      </c>
      <c r="N186" s="476">
        <f t="shared" si="94"/>
        <v>0</v>
      </c>
      <c r="O186" s="142">
        <f t="shared" si="90"/>
        <v>30.53</v>
      </c>
      <c r="P186" s="476">
        <f t="shared" si="91"/>
        <v>63746.64</v>
      </c>
      <c r="Q186" s="476"/>
      <c r="R186" s="476">
        <f t="shared" si="101"/>
        <v>0</v>
      </c>
      <c r="S186" s="476">
        <f t="shared" si="92"/>
        <v>30.53</v>
      </c>
      <c r="T186" s="476">
        <f t="shared" si="124"/>
        <v>63746.64</v>
      </c>
      <c r="U186" t="s">
        <v>181</v>
      </c>
      <c r="V186" s="476">
        <f t="shared" si="125"/>
        <v>0</v>
      </c>
      <c r="W186" s="142">
        <f t="shared" si="93"/>
        <v>0</v>
      </c>
      <c r="X186" s="1076"/>
    </row>
    <row r="187" spans="1:24" x14ac:dyDescent="0.2">
      <c r="A187" t="s">
        <v>182</v>
      </c>
      <c r="B187" s="476">
        <f t="shared" si="120"/>
        <v>66628.08</v>
      </c>
      <c r="C187" s="476">
        <f t="shared" si="120"/>
        <v>2776.17</v>
      </c>
      <c r="D187" s="9" t="s">
        <v>176</v>
      </c>
      <c r="E187" s="10">
        <v>7</v>
      </c>
      <c r="F187" s="476">
        <f t="shared" si="88"/>
        <v>66628.08</v>
      </c>
      <c r="G187" s="476">
        <f t="shared" si="89"/>
        <v>2776.17</v>
      </c>
      <c r="H187">
        <f t="shared" si="121"/>
        <v>69739.199999999997</v>
      </c>
      <c r="I187">
        <f t="shared" si="122"/>
        <v>2905.7999999999997</v>
      </c>
      <c r="L187" t="s">
        <v>182</v>
      </c>
      <c r="M187" s="142">
        <f t="shared" si="123"/>
        <v>31.91</v>
      </c>
      <c r="N187" s="476">
        <f t="shared" si="94"/>
        <v>0</v>
      </c>
      <c r="O187" s="142">
        <f t="shared" si="90"/>
        <v>31.91</v>
      </c>
      <c r="P187" s="476">
        <f t="shared" si="91"/>
        <v>66628.08</v>
      </c>
      <c r="Q187" s="476"/>
      <c r="R187" s="476">
        <f t="shared" si="101"/>
        <v>0</v>
      </c>
      <c r="S187" s="476">
        <f t="shared" si="92"/>
        <v>31.91</v>
      </c>
      <c r="T187" s="476">
        <f t="shared" si="124"/>
        <v>66628.08</v>
      </c>
      <c r="U187" t="s">
        <v>182</v>
      </c>
      <c r="V187" s="476">
        <f t="shared" si="125"/>
        <v>0</v>
      </c>
      <c r="W187" s="142">
        <f t="shared" si="93"/>
        <v>0</v>
      </c>
      <c r="X187" s="1076"/>
    </row>
    <row r="188" spans="1:24" x14ac:dyDescent="0.2">
      <c r="A188" t="s">
        <v>183</v>
      </c>
      <c r="B188" s="476">
        <f t="shared" si="120"/>
        <v>69739.199999999997</v>
      </c>
      <c r="C188" s="476">
        <f t="shared" si="120"/>
        <v>2905.7999999999997</v>
      </c>
      <c r="D188" s="9" t="s">
        <v>176</v>
      </c>
      <c r="E188" s="10">
        <v>8</v>
      </c>
      <c r="F188" s="476">
        <f t="shared" si="88"/>
        <v>69739.199999999997</v>
      </c>
      <c r="G188" s="476">
        <f t="shared" si="89"/>
        <v>2905.7999999999997</v>
      </c>
      <c r="H188">
        <f t="shared" si="121"/>
        <v>72871.199999999997</v>
      </c>
      <c r="I188">
        <f t="shared" si="122"/>
        <v>3036.2999999999997</v>
      </c>
      <c r="L188" t="s">
        <v>183</v>
      </c>
      <c r="M188" s="142">
        <f t="shared" si="123"/>
        <v>33.4</v>
      </c>
      <c r="N188" s="476">
        <f t="shared" si="94"/>
        <v>0</v>
      </c>
      <c r="O188" s="142">
        <f t="shared" si="90"/>
        <v>33.4</v>
      </c>
      <c r="P188" s="476">
        <f t="shared" si="91"/>
        <v>69739.199999999997</v>
      </c>
      <c r="Q188" s="476"/>
      <c r="R188" s="476">
        <f t="shared" si="101"/>
        <v>0</v>
      </c>
      <c r="S188" s="476">
        <f t="shared" si="92"/>
        <v>33.4</v>
      </c>
      <c r="T188" s="476">
        <f t="shared" si="124"/>
        <v>69739.199999999997</v>
      </c>
      <c r="U188" t="s">
        <v>183</v>
      </c>
      <c r="V188" s="476">
        <f t="shared" si="125"/>
        <v>0</v>
      </c>
      <c r="W188" s="142">
        <f t="shared" si="93"/>
        <v>0</v>
      </c>
      <c r="X188" s="1076"/>
    </row>
    <row r="189" spans="1:24" x14ac:dyDescent="0.2">
      <c r="A189" t="s">
        <v>267</v>
      </c>
      <c r="B189" s="478">
        <f t="shared" si="120"/>
        <v>72871.199999999997</v>
      </c>
      <c r="C189" s="478">
        <f t="shared" si="120"/>
        <v>3036.2999999999997</v>
      </c>
      <c r="D189" s="9">
        <v>35</v>
      </c>
      <c r="E189" s="10">
        <v>9</v>
      </c>
      <c r="F189" s="476">
        <f t="shared" si="88"/>
        <v>72871.199999999997</v>
      </c>
      <c r="G189" s="476">
        <f t="shared" si="89"/>
        <v>3036.2999999999997</v>
      </c>
      <c r="H189">
        <f t="shared" si="121"/>
        <v>76170.239999999991</v>
      </c>
      <c r="I189">
        <f t="shared" si="122"/>
        <v>3173.7599999999998</v>
      </c>
      <c r="L189" t="s">
        <v>267</v>
      </c>
      <c r="M189" s="143">
        <f t="shared" si="123"/>
        <v>34.9</v>
      </c>
      <c r="N189" s="476">
        <f t="shared" si="94"/>
        <v>0</v>
      </c>
      <c r="O189" s="142">
        <f t="shared" si="90"/>
        <v>34.9</v>
      </c>
      <c r="P189" s="476">
        <f t="shared" si="91"/>
        <v>72871.199999999997</v>
      </c>
      <c r="Q189" s="476"/>
      <c r="R189" s="476">
        <f t="shared" si="101"/>
        <v>0</v>
      </c>
      <c r="S189" s="476">
        <f t="shared" si="92"/>
        <v>34.9</v>
      </c>
      <c r="T189" s="478">
        <f t="shared" si="124"/>
        <v>72871.199999999997</v>
      </c>
      <c r="U189" t="s">
        <v>267</v>
      </c>
      <c r="V189" s="478">
        <f t="shared" si="125"/>
        <v>0</v>
      </c>
      <c r="W189" s="142">
        <f t="shared" si="93"/>
        <v>0</v>
      </c>
      <c r="X189" s="1076"/>
    </row>
    <row r="190" spans="1:24" x14ac:dyDescent="0.2">
      <c r="A190" t="s">
        <v>303</v>
      </c>
      <c r="B190" s="477">
        <f>P190</f>
        <v>76170.239999999991</v>
      </c>
      <c r="C190" s="477">
        <f>B190/24</f>
        <v>3173.7599999999998</v>
      </c>
      <c r="D190" s="9">
        <v>35</v>
      </c>
      <c r="E190" s="10">
        <v>10</v>
      </c>
      <c r="F190" s="476">
        <f t="shared" si="88"/>
        <v>76170.239999999991</v>
      </c>
      <c r="G190" s="476">
        <f t="shared" si="89"/>
        <v>3173.7599999999998</v>
      </c>
      <c r="H190">
        <f>F190</f>
        <v>76170.239999999991</v>
      </c>
      <c r="I190">
        <f>G190</f>
        <v>3173.7599999999998</v>
      </c>
      <c r="L190" t="s">
        <v>303</v>
      </c>
      <c r="M190" s="612">
        <v>36.479999999999997</v>
      </c>
      <c r="N190" s="476">
        <f t="shared" si="94"/>
        <v>0</v>
      </c>
      <c r="O190" s="142">
        <f t="shared" si="90"/>
        <v>36.479999999999997</v>
      </c>
      <c r="P190" s="476">
        <f t="shared" si="91"/>
        <v>76170.239999999991</v>
      </c>
      <c r="Q190" s="476"/>
      <c r="R190" s="476">
        <f t="shared" si="101"/>
        <v>0</v>
      </c>
      <c r="S190" s="476">
        <f t="shared" si="92"/>
        <v>36.479999999999997</v>
      </c>
      <c r="T190" s="477">
        <f>S190*$T$9</f>
        <v>76170.239999999991</v>
      </c>
      <c r="U190" t="s">
        <v>303</v>
      </c>
      <c r="V190" s="142">
        <f>R190*2088</f>
        <v>0</v>
      </c>
      <c r="W190" s="142">
        <f t="shared" si="93"/>
        <v>0</v>
      </c>
      <c r="X190" s="1076"/>
    </row>
    <row r="191" spans="1:24" x14ac:dyDescent="0.2">
      <c r="A191" t="s">
        <v>184</v>
      </c>
      <c r="B191" s="476">
        <f t="shared" ref="B191:C199" si="126">B182</f>
        <v>53598.960000000006</v>
      </c>
      <c r="C191" s="476">
        <f t="shared" si="126"/>
        <v>2233.2900000000004</v>
      </c>
      <c r="D191" s="9" t="s">
        <v>185</v>
      </c>
      <c r="E191" s="10" t="s">
        <v>23</v>
      </c>
      <c r="F191" s="476">
        <f t="shared" si="88"/>
        <v>53598.960000000006</v>
      </c>
      <c r="G191" s="476">
        <f t="shared" si="89"/>
        <v>2233.2900000000004</v>
      </c>
      <c r="H191">
        <f t="shared" ref="H191:H199" si="127">F192</f>
        <v>55958.400000000001</v>
      </c>
      <c r="I191">
        <f t="shared" ref="I191:I199" si="128">G192</f>
        <v>2331.6</v>
      </c>
      <c r="L191" t="s">
        <v>184</v>
      </c>
      <c r="M191" s="142">
        <f t="shared" ref="M191:M199" si="129">M182</f>
        <v>25.67</v>
      </c>
      <c r="N191" s="476">
        <f t="shared" si="94"/>
        <v>0</v>
      </c>
      <c r="O191" s="142">
        <f t="shared" si="90"/>
        <v>25.67</v>
      </c>
      <c r="P191" s="476">
        <f t="shared" si="91"/>
        <v>53598.960000000006</v>
      </c>
      <c r="Q191" s="476"/>
      <c r="R191" s="476">
        <f t="shared" si="101"/>
        <v>0</v>
      </c>
      <c r="S191" s="476">
        <f t="shared" si="92"/>
        <v>25.67</v>
      </c>
      <c r="T191" s="476">
        <f t="shared" ref="T191:T199" si="130">T182</f>
        <v>53598.960000000006</v>
      </c>
      <c r="U191" t="s">
        <v>184</v>
      </c>
      <c r="V191" s="476">
        <f t="shared" ref="V191:V199" si="131">V182</f>
        <v>0</v>
      </c>
      <c r="W191" s="142">
        <f t="shared" si="93"/>
        <v>0</v>
      </c>
      <c r="X191" s="1076"/>
    </row>
    <row r="192" spans="1:24" x14ac:dyDescent="0.2">
      <c r="A192" t="s">
        <v>186</v>
      </c>
      <c r="B192" s="476">
        <f t="shared" si="126"/>
        <v>55958.400000000001</v>
      </c>
      <c r="C192" s="476">
        <f t="shared" si="126"/>
        <v>2331.6</v>
      </c>
      <c r="D192" s="9" t="s">
        <v>185</v>
      </c>
      <c r="E192" s="10">
        <v>2</v>
      </c>
      <c r="F192" s="476">
        <f t="shared" si="88"/>
        <v>55958.400000000001</v>
      </c>
      <c r="G192" s="476">
        <f t="shared" si="89"/>
        <v>2331.6</v>
      </c>
      <c r="H192">
        <f t="shared" si="127"/>
        <v>58380.480000000003</v>
      </c>
      <c r="I192">
        <f t="shared" si="128"/>
        <v>2432.52</v>
      </c>
      <c r="L192" t="s">
        <v>186</v>
      </c>
      <c r="M192" s="142">
        <f t="shared" si="129"/>
        <v>26.8</v>
      </c>
      <c r="N192" s="476">
        <f t="shared" si="94"/>
        <v>0</v>
      </c>
      <c r="O192" s="142">
        <f t="shared" si="90"/>
        <v>26.8</v>
      </c>
      <c r="P192" s="476">
        <f t="shared" si="91"/>
        <v>55958.400000000001</v>
      </c>
      <c r="Q192" s="476"/>
      <c r="R192" s="476">
        <f t="shared" si="101"/>
        <v>0</v>
      </c>
      <c r="S192" s="476">
        <f t="shared" si="92"/>
        <v>26.8</v>
      </c>
      <c r="T192" s="476">
        <f t="shared" si="130"/>
        <v>55979.28</v>
      </c>
      <c r="U192" t="s">
        <v>186</v>
      </c>
      <c r="V192" s="476">
        <f t="shared" si="131"/>
        <v>20.88</v>
      </c>
      <c r="W192" s="142">
        <f t="shared" si="93"/>
        <v>20.879999999997381</v>
      </c>
      <c r="X192" s="1076"/>
    </row>
    <row r="193" spans="1:24" x14ac:dyDescent="0.2">
      <c r="A193" t="s">
        <v>187</v>
      </c>
      <c r="B193" s="476">
        <f t="shared" si="126"/>
        <v>58380.480000000003</v>
      </c>
      <c r="C193" s="476">
        <f t="shared" si="126"/>
        <v>2432.52</v>
      </c>
      <c r="D193" s="9" t="s">
        <v>185</v>
      </c>
      <c r="E193" s="10">
        <v>3</v>
      </c>
      <c r="F193" s="476">
        <f t="shared" si="88"/>
        <v>58380.480000000003</v>
      </c>
      <c r="G193" s="476">
        <f t="shared" si="89"/>
        <v>2432.52</v>
      </c>
      <c r="H193">
        <f t="shared" si="127"/>
        <v>61011.360000000001</v>
      </c>
      <c r="I193">
        <f t="shared" si="128"/>
        <v>2542.14</v>
      </c>
      <c r="L193" t="s">
        <v>187</v>
      </c>
      <c r="M193" s="142">
        <f t="shared" si="129"/>
        <v>27.96</v>
      </c>
      <c r="N193" s="476">
        <f t="shared" si="94"/>
        <v>0</v>
      </c>
      <c r="O193" s="142">
        <f t="shared" si="90"/>
        <v>27.96</v>
      </c>
      <c r="P193" s="476">
        <f t="shared" si="91"/>
        <v>58380.480000000003</v>
      </c>
      <c r="Q193" s="476"/>
      <c r="R193" s="476">
        <f t="shared" si="101"/>
        <v>0</v>
      </c>
      <c r="S193" s="476">
        <f t="shared" si="92"/>
        <v>27.96</v>
      </c>
      <c r="T193" s="476">
        <f t="shared" si="130"/>
        <v>58380.480000000003</v>
      </c>
      <c r="U193" t="s">
        <v>187</v>
      </c>
      <c r="V193" s="476">
        <f t="shared" si="131"/>
        <v>0</v>
      </c>
      <c r="W193" s="142">
        <f t="shared" si="93"/>
        <v>0</v>
      </c>
      <c r="X193" s="1076"/>
    </row>
    <row r="194" spans="1:24" x14ac:dyDescent="0.2">
      <c r="A194" t="s">
        <v>188</v>
      </c>
      <c r="B194" s="476">
        <f t="shared" si="126"/>
        <v>61011.360000000001</v>
      </c>
      <c r="C194" s="476">
        <f t="shared" si="126"/>
        <v>2542.14</v>
      </c>
      <c r="D194" s="9" t="s">
        <v>185</v>
      </c>
      <c r="E194" s="10">
        <v>4</v>
      </c>
      <c r="F194" s="476">
        <f t="shared" si="88"/>
        <v>61011.360000000001</v>
      </c>
      <c r="G194" s="476">
        <f t="shared" si="89"/>
        <v>2542.14</v>
      </c>
      <c r="H194">
        <f t="shared" si="127"/>
        <v>63746.64</v>
      </c>
      <c r="I194">
        <f t="shared" si="128"/>
        <v>2656.11</v>
      </c>
      <c r="L194" t="s">
        <v>188</v>
      </c>
      <c r="M194" s="142">
        <f t="shared" si="129"/>
        <v>29.22</v>
      </c>
      <c r="N194" s="476">
        <f t="shared" si="94"/>
        <v>0</v>
      </c>
      <c r="O194" s="142">
        <f t="shared" si="90"/>
        <v>29.22</v>
      </c>
      <c r="P194" s="476">
        <f t="shared" si="91"/>
        <v>61011.360000000001</v>
      </c>
      <c r="Q194" s="476"/>
      <c r="R194" s="476">
        <f t="shared" si="101"/>
        <v>0</v>
      </c>
      <c r="S194" s="476">
        <f t="shared" si="92"/>
        <v>29.22</v>
      </c>
      <c r="T194" s="476">
        <f t="shared" si="130"/>
        <v>61011.360000000001</v>
      </c>
      <c r="U194" t="s">
        <v>188</v>
      </c>
      <c r="V194" s="476">
        <f t="shared" si="131"/>
        <v>0</v>
      </c>
      <c r="W194" s="142">
        <f t="shared" si="93"/>
        <v>0</v>
      </c>
      <c r="X194" s="1076"/>
    </row>
    <row r="195" spans="1:24" x14ac:dyDescent="0.2">
      <c r="A195" t="s">
        <v>189</v>
      </c>
      <c r="B195" s="476">
        <f t="shared" si="126"/>
        <v>63746.64</v>
      </c>
      <c r="C195" s="476">
        <f t="shared" si="126"/>
        <v>2656.11</v>
      </c>
      <c r="D195" s="9" t="s">
        <v>185</v>
      </c>
      <c r="E195" s="10">
        <v>5</v>
      </c>
      <c r="F195" s="476">
        <f t="shared" si="88"/>
        <v>63746.64</v>
      </c>
      <c r="G195" s="476">
        <f t="shared" si="89"/>
        <v>2656.11</v>
      </c>
      <c r="H195">
        <f t="shared" si="127"/>
        <v>66628.08</v>
      </c>
      <c r="I195">
        <f t="shared" si="128"/>
        <v>2776.17</v>
      </c>
      <c r="L195" t="s">
        <v>189</v>
      </c>
      <c r="M195" s="142">
        <f t="shared" si="129"/>
        <v>30.53</v>
      </c>
      <c r="N195" s="476">
        <f t="shared" si="94"/>
        <v>0</v>
      </c>
      <c r="O195" s="142">
        <f t="shared" si="90"/>
        <v>30.53</v>
      </c>
      <c r="P195" s="476">
        <f t="shared" si="91"/>
        <v>63746.64</v>
      </c>
      <c r="Q195" s="476"/>
      <c r="R195" s="476">
        <f t="shared" si="101"/>
        <v>0</v>
      </c>
      <c r="S195" s="476">
        <f t="shared" si="92"/>
        <v>30.53</v>
      </c>
      <c r="T195" s="476">
        <f t="shared" si="130"/>
        <v>63746.64</v>
      </c>
      <c r="U195" t="s">
        <v>189</v>
      </c>
      <c r="V195" s="476">
        <f t="shared" si="131"/>
        <v>0</v>
      </c>
      <c r="W195" s="142">
        <f t="shared" si="93"/>
        <v>0</v>
      </c>
      <c r="X195" s="1076"/>
    </row>
    <row r="196" spans="1:24" x14ac:dyDescent="0.2">
      <c r="A196" t="s">
        <v>190</v>
      </c>
      <c r="B196" s="476">
        <f t="shared" si="126"/>
        <v>66628.08</v>
      </c>
      <c r="C196" s="476">
        <f t="shared" si="126"/>
        <v>2776.17</v>
      </c>
      <c r="D196" s="9" t="s">
        <v>185</v>
      </c>
      <c r="E196" s="10">
        <v>6</v>
      </c>
      <c r="F196" s="476">
        <f t="shared" si="88"/>
        <v>66628.08</v>
      </c>
      <c r="G196" s="476">
        <f t="shared" si="89"/>
        <v>2776.17</v>
      </c>
      <c r="H196">
        <f t="shared" si="127"/>
        <v>69739.199999999997</v>
      </c>
      <c r="I196">
        <f t="shared" si="128"/>
        <v>2905.7999999999997</v>
      </c>
      <c r="L196" t="s">
        <v>190</v>
      </c>
      <c r="M196" s="142">
        <f t="shared" si="129"/>
        <v>31.91</v>
      </c>
      <c r="N196" s="476">
        <f t="shared" si="94"/>
        <v>0</v>
      </c>
      <c r="O196" s="142">
        <f t="shared" si="90"/>
        <v>31.91</v>
      </c>
      <c r="P196" s="476">
        <f t="shared" si="91"/>
        <v>66628.08</v>
      </c>
      <c r="Q196" s="476"/>
      <c r="R196" s="476">
        <f t="shared" si="101"/>
        <v>0</v>
      </c>
      <c r="S196" s="476">
        <f t="shared" si="92"/>
        <v>31.91</v>
      </c>
      <c r="T196" s="476">
        <f t="shared" si="130"/>
        <v>66628.08</v>
      </c>
      <c r="U196" t="s">
        <v>190</v>
      </c>
      <c r="V196" s="476">
        <f t="shared" si="131"/>
        <v>0</v>
      </c>
      <c r="W196" s="142">
        <f t="shared" si="93"/>
        <v>0</v>
      </c>
      <c r="X196" s="1076"/>
    </row>
    <row r="197" spans="1:24" x14ac:dyDescent="0.2">
      <c r="A197" t="s">
        <v>191</v>
      </c>
      <c r="B197" s="476">
        <f t="shared" si="126"/>
        <v>69739.199999999997</v>
      </c>
      <c r="C197" s="476">
        <f t="shared" si="126"/>
        <v>2905.7999999999997</v>
      </c>
      <c r="D197" s="9" t="s">
        <v>185</v>
      </c>
      <c r="E197" s="10">
        <v>7</v>
      </c>
      <c r="F197" s="476">
        <f t="shared" si="88"/>
        <v>69739.199999999997</v>
      </c>
      <c r="G197" s="476">
        <f t="shared" si="89"/>
        <v>2905.7999999999997</v>
      </c>
      <c r="H197">
        <f t="shared" si="127"/>
        <v>72871.199999999997</v>
      </c>
      <c r="I197">
        <f t="shared" si="128"/>
        <v>3036.2999999999997</v>
      </c>
      <c r="L197" t="s">
        <v>191</v>
      </c>
      <c r="M197" s="142">
        <f t="shared" si="129"/>
        <v>33.4</v>
      </c>
      <c r="N197" s="476">
        <f t="shared" si="94"/>
        <v>0</v>
      </c>
      <c r="O197" s="142">
        <f t="shared" si="90"/>
        <v>33.4</v>
      </c>
      <c r="P197" s="476">
        <f t="shared" si="91"/>
        <v>69739.199999999997</v>
      </c>
      <c r="Q197" s="476"/>
      <c r="R197" s="476">
        <f t="shared" si="101"/>
        <v>0</v>
      </c>
      <c r="S197" s="476">
        <f t="shared" si="92"/>
        <v>33.4</v>
      </c>
      <c r="T197" s="476">
        <f t="shared" si="130"/>
        <v>69739.199999999997</v>
      </c>
      <c r="U197" t="s">
        <v>191</v>
      </c>
      <c r="V197" s="476">
        <f t="shared" si="131"/>
        <v>0</v>
      </c>
      <c r="W197" s="142">
        <f t="shared" si="93"/>
        <v>0</v>
      </c>
      <c r="X197" s="1076"/>
    </row>
    <row r="198" spans="1:24" x14ac:dyDescent="0.2">
      <c r="A198" t="s">
        <v>192</v>
      </c>
      <c r="B198" s="476">
        <f t="shared" si="126"/>
        <v>72871.199999999997</v>
      </c>
      <c r="C198" s="476">
        <f t="shared" si="126"/>
        <v>3036.2999999999997</v>
      </c>
      <c r="D198" s="9" t="s">
        <v>185</v>
      </c>
      <c r="E198" s="10">
        <v>8</v>
      </c>
      <c r="F198" s="476">
        <f t="shared" si="88"/>
        <v>72871.199999999997</v>
      </c>
      <c r="G198" s="476">
        <f t="shared" si="89"/>
        <v>3036.2999999999997</v>
      </c>
      <c r="H198">
        <f t="shared" si="127"/>
        <v>76170.239999999991</v>
      </c>
      <c r="I198">
        <f t="shared" si="128"/>
        <v>3173.7599999999998</v>
      </c>
      <c r="L198" t="s">
        <v>192</v>
      </c>
      <c r="M198" s="142">
        <f t="shared" si="129"/>
        <v>34.9</v>
      </c>
      <c r="N198" s="476">
        <f t="shared" si="94"/>
        <v>0</v>
      </c>
      <c r="O198" s="142">
        <f t="shared" si="90"/>
        <v>34.9</v>
      </c>
      <c r="P198" s="476">
        <f t="shared" si="91"/>
        <v>72871.199999999997</v>
      </c>
      <c r="Q198" s="476"/>
      <c r="R198" s="476">
        <f t="shared" si="101"/>
        <v>0</v>
      </c>
      <c r="S198" s="476">
        <f t="shared" si="92"/>
        <v>34.9</v>
      </c>
      <c r="T198" s="476">
        <f t="shared" si="130"/>
        <v>72871.199999999997</v>
      </c>
      <c r="U198" t="s">
        <v>192</v>
      </c>
      <c r="V198" s="476">
        <f t="shared" si="131"/>
        <v>0</v>
      </c>
      <c r="W198" s="142">
        <f t="shared" si="93"/>
        <v>0</v>
      </c>
      <c r="X198" s="1076"/>
    </row>
    <row r="199" spans="1:24" x14ac:dyDescent="0.2">
      <c r="A199" t="s">
        <v>268</v>
      </c>
      <c r="B199" s="478">
        <f t="shared" si="126"/>
        <v>76170.239999999991</v>
      </c>
      <c r="C199" s="478">
        <f t="shared" si="126"/>
        <v>3173.7599999999998</v>
      </c>
      <c r="D199" s="9">
        <v>36</v>
      </c>
      <c r="E199" s="10">
        <v>9</v>
      </c>
      <c r="F199" s="476">
        <f t="shared" si="88"/>
        <v>76170.239999999991</v>
      </c>
      <c r="G199" s="476">
        <f t="shared" si="89"/>
        <v>3173.7599999999998</v>
      </c>
      <c r="H199">
        <f t="shared" si="127"/>
        <v>79719.839999999997</v>
      </c>
      <c r="I199">
        <f t="shared" si="128"/>
        <v>3321.66</v>
      </c>
      <c r="L199" t="s">
        <v>268</v>
      </c>
      <c r="M199" s="143">
        <f t="shared" si="129"/>
        <v>36.479999999999997</v>
      </c>
      <c r="N199" s="476">
        <f t="shared" si="94"/>
        <v>0</v>
      </c>
      <c r="O199" s="142">
        <f t="shared" si="90"/>
        <v>36.479999999999997</v>
      </c>
      <c r="P199" s="476">
        <f t="shared" si="91"/>
        <v>76170.239999999991</v>
      </c>
      <c r="Q199" s="476"/>
      <c r="R199" s="476">
        <f t="shared" si="101"/>
        <v>0</v>
      </c>
      <c r="S199" s="476">
        <f t="shared" si="92"/>
        <v>36.479999999999997</v>
      </c>
      <c r="T199" s="478">
        <f t="shared" si="130"/>
        <v>76170.239999999991</v>
      </c>
      <c r="U199" t="s">
        <v>268</v>
      </c>
      <c r="V199" s="478">
        <f t="shared" si="131"/>
        <v>0</v>
      </c>
      <c r="W199" s="142">
        <f t="shared" si="93"/>
        <v>0</v>
      </c>
      <c r="X199" s="1076"/>
    </row>
    <row r="200" spans="1:24" x14ac:dyDescent="0.2">
      <c r="A200" t="s">
        <v>304</v>
      </c>
      <c r="B200" s="477">
        <f>P200</f>
        <v>79719.839999999997</v>
      </c>
      <c r="C200" s="477">
        <f>B200/24</f>
        <v>3321.66</v>
      </c>
      <c r="D200" s="9">
        <v>36</v>
      </c>
      <c r="E200" s="10">
        <v>10</v>
      </c>
      <c r="F200" s="476">
        <f t="shared" si="88"/>
        <v>79719.839999999997</v>
      </c>
      <c r="G200" s="476">
        <f t="shared" si="89"/>
        <v>3321.66</v>
      </c>
      <c r="H200">
        <f>F200</f>
        <v>79719.839999999997</v>
      </c>
      <c r="I200">
        <f>G200</f>
        <v>3321.66</v>
      </c>
      <c r="L200" t="s">
        <v>304</v>
      </c>
      <c r="M200" s="612">
        <v>38.18</v>
      </c>
      <c r="N200" s="476">
        <f t="shared" si="94"/>
        <v>0</v>
      </c>
      <c r="O200" s="142">
        <f t="shared" si="90"/>
        <v>38.18</v>
      </c>
      <c r="P200" s="476">
        <f t="shared" si="91"/>
        <v>79719.839999999997</v>
      </c>
      <c r="Q200" s="476"/>
      <c r="R200" s="476">
        <f t="shared" si="101"/>
        <v>0</v>
      </c>
      <c r="S200" s="476">
        <f t="shared" si="92"/>
        <v>38.18</v>
      </c>
      <c r="T200" s="477">
        <f>S200*$T$9+20.88</f>
        <v>79740.72</v>
      </c>
      <c r="U200" t="s">
        <v>304</v>
      </c>
      <c r="V200" s="470">
        <f>(+R200*2088)+20.88</f>
        <v>20.88</v>
      </c>
      <c r="W200" s="142">
        <f t="shared" si="93"/>
        <v>20.880000000004657</v>
      </c>
      <c r="X200" s="1076"/>
    </row>
    <row r="201" spans="1:24" x14ac:dyDescent="0.2">
      <c r="A201" t="s">
        <v>193</v>
      </c>
      <c r="B201" s="476">
        <f t="shared" ref="B201:C209" si="132">B192</f>
        <v>55958.400000000001</v>
      </c>
      <c r="C201" s="476">
        <f t="shared" si="132"/>
        <v>2331.6</v>
      </c>
      <c r="D201" s="9" t="s">
        <v>194</v>
      </c>
      <c r="E201" s="10" t="s">
        <v>23</v>
      </c>
      <c r="F201" s="476">
        <f t="shared" si="88"/>
        <v>55958.400000000001</v>
      </c>
      <c r="G201" s="476">
        <f t="shared" si="89"/>
        <v>2331.6</v>
      </c>
      <c r="H201">
        <f t="shared" ref="H201:H209" si="133">F202</f>
        <v>58380.480000000003</v>
      </c>
      <c r="I201">
        <f t="shared" ref="I201:I209" si="134">G202</f>
        <v>2432.52</v>
      </c>
      <c r="L201" t="s">
        <v>193</v>
      </c>
      <c r="M201" s="142">
        <f t="shared" ref="M201:M209" si="135">M192</f>
        <v>26.8</v>
      </c>
      <c r="N201" s="476">
        <f t="shared" si="94"/>
        <v>0</v>
      </c>
      <c r="O201" s="142">
        <f t="shared" si="90"/>
        <v>26.8</v>
      </c>
      <c r="P201" s="476">
        <f t="shared" si="91"/>
        <v>55958.400000000001</v>
      </c>
      <c r="Q201" s="476"/>
      <c r="R201" s="476">
        <f t="shared" si="101"/>
        <v>0</v>
      </c>
      <c r="S201" s="476">
        <f t="shared" si="92"/>
        <v>26.8</v>
      </c>
      <c r="T201" s="476">
        <f t="shared" ref="T201:T209" si="136">T192</f>
        <v>55979.28</v>
      </c>
      <c r="U201" t="s">
        <v>193</v>
      </c>
      <c r="V201" s="476">
        <f t="shared" ref="V201:V209" si="137">V192</f>
        <v>20.88</v>
      </c>
      <c r="W201" s="142">
        <f t="shared" si="93"/>
        <v>20.879999999997381</v>
      </c>
      <c r="X201" s="1076"/>
    </row>
    <row r="202" spans="1:24" x14ac:dyDescent="0.2">
      <c r="A202" t="s">
        <v>195</v>
      </c>
      <c r="B202" s="476">
        <f t="shared" si="132"/>
        <v>58380.480000000003</v>
      </c>
      <c r="C202" s="476">
        <f t="shared" si="132"/>
        <v>2432.52</v>
      </c>
      <c r="D202" s="9" t="s">
        <v>194</v>
      </c>
      <c r="E202" s="10">
        <v>2</v>
      </c>
      <c r="F202" s="476">
        <f t="shared" si="88"/>
        <v>58380.480000000003</v>
      </c>
      <c r="G202" s="476">
        <f t="shared" si="89"/>
        <v>2432.52</v>
      </c>
      <c r="H202">
        <f t="shared" si="133"/>
        <v>61011.360000000001</v>
      </c>
      <c r="I202">
        <f t="shared" si="134"/>
        <v>2542.14</v>
      </c>
      <c r="L202" t="s">
        <v>195</v>
      </c>
      <c r="M202" s="142">
        <f t="shared" si="135"/>
        <v>27.96</v>
      </c>
      <c r="N202" s="476">
        <f t="shared" si="94"/>
        <v>0</v>
      </c>
      <c r="O202" s="142">
        <f t="shared" si="90"/>
        <v>27.96</v>
      </c>
      <c r="P202" s="476">
        <f t="shared" si="91"/>
        <v>58380.480000000003</v>
      </c>
      <c r="Q202" s="476"/>
      <c r="R202" s="476">
        <f t="shared" si="101"/>
        <v>0</v>
      </c>
      <c r="S202" s="476">
        <f t="shared" si="92"/>
        <v>27.96</v>
      </c>
      <c r="T202" s="476">
        <f t="shared" si="136"/>
        <v>58380.480000000003</v>
      </c>
      <c r="U202" t="s">
        <v>195</v>
      </c>
      <c r="V202" s="476">
        <f t="shared" si="137"/>
        <v>0</v>
      </c>
      <c r="W202" s="142">
        <f t="shared" si="93"/>
        <v>0</v>
      </c>
      <c r="X202" s="1076"/>
    </row>
    <row r="203" spans="1:24" x14ac:dyDescent="0.2">
      <c r="A203" t="s">
        <v>196</v>
      </c>
      <c r="B203" s="476">
        <f t="shared" si="132"/>
        <v>61011.360000000001</v>
      </c>
      <c r="C203" s="476">
        <f t="shared" si="132"/>
        <v>2542.14</v>
      </c>
      <c r="D203" s="9" t="s">
        <v>194</v>
      </c>
      <c r="E203" s="10">
        <v>3</v>
      </c>
      <c r="F203" s="476">
        <f t="shared" ref="F203:F266" si="138">B203</f>
        <v>61011.360000000001</v>
      </c>
      <c r="G203" s="476">
        <f t="shared" ref="G203:G266" si="139">C203</f>
        <v>2542.14</v>
      </c>
      <c r="H203">
        <f t="shared" si="133"/>
        <v>63746.64</v>
      </c>
      <c r="I203">
        <f t="shared" si="134"/>
        <v>2656.11</v>
      </c>
      <c r="L203" t="s">
        <v>196</v>
      </c>
      <c r="M203" s="142">
        <f t="shared" si="135"/>
        <v>29.22</v>
      </c>
      <c r="N203" s="476">
        <f t="shared" si="94"/>
        <v>0</v>
      </c>
      <c r="O203" s="142">
        <f t="shared" ref="O203:O266" si="140">M203+N203</f>
        <v>29.22</v>
      </c>
      <c r="P203" s="476">
        <f t="shared" ref="P203:P266" si="141">O203*$P$9</f>
        <v>61011.360000000001</v>
      </c>
      <c r="Q203" s="476"/>
      <c r="R203" s="476">
        <f t="shared" si="101"/>
        <v>0</v>
      </c>
      <c r="S203" s="476">
        <f t="shared" ref="S203:S266" si="142">O203+R203</f>
        <v>29.22</v>
      </c>
      <c r="T203" s="476">
        <f t="shared" si="136"/>
        <v>61011.360000000001</v>
      </c>
      <c r="U203" t="s">
        <v>196</v>
      </c>
      <c r="V203" s="476">
        <f t="shared" si="137"/>
        <v>0</v>
      </c>
      <c r="W203" s="142">
        <f t="shared" ref="W203:W266" si="143">T203-P203</f>
        <v>0</v>
      </c>
      <c r="X203" s="1076"/>
    </row>
    <row r="204" spans="1:24" x14ac:dyDescent="0.2">
      <c r="A204" t="s">
        <v>197</v>
      </c>
      <c r="B204" s="476">
        <f t="shared" si="132"/>
        <v>63746.64</v>
      </c>
      <c r="C204" s="476">
        <f t="shared" si="132"/>
        <v>2656.11</v>
      </c>
      <c r="D204" s="9" t="s">
        <v>194</v>
      </c>
      <c r="E204" s="10">
        <v>4</v>
      </c>
      <c r="F204" s="476">
        <f t="shared" si="138"/>
        <v>63746.64</v>
      </c>
      <c r="G204" s="476">
        <f t="shared" si="139"/>
        <v>2656.11</v>
      </c>
      <c r="H204">
        <f t="shared" si="133"/>
        <v>66628.08</v>
      </c>
      <c r="I204">
        <f t="shared" si="134"/>
        <v>2776.17</v>
      </c>
      <c r="L204" t="s">
        <v>197</v>
      </c>
      <c r="M204" s="142">
        <f t="shared" si="135"/>
        <v>30.53</v>
      </c>
      <c r="N204" s="476">
        <f t="shared" ref="N204:N267" si="144">ROUND(+M204*$N$9,2)</f>
        <v>0</v>
      </c>
      <c r="O204" s="142">
        <f t="shared" si="140"/>
        <v>30.53</v>
      </c>
      <c r="P204" s="476">
        <f t="shared" si="141"/>
        <v>63746.64</v>
      </c>
      <c r="Q204" s="476"/>
      <c r="R204" s="476">
        <f t="shared" si="101"/>
        <v>0</v>
      </c>
      <c r="S204" s="476">
        <f t="shared" si="142"/>
        <v>30.53</v>
      </c>
      <c r="T204" s="476">
        <f t="shared" si="136"/>
        <v>63746.64</v>
      </c>
      <c r="U204" t="s">
        <v>197</v>
      </c>
      <c r="V204" s="476">
        <f t="shared" si="137"/>
        <v>0</v>
      </c>
      <c r="W204" s="142">
        <f t="shared" si="143"/>
        <v>0</v>
      </c>
      <c r="X204" s="1076"/>
    </row>
    <row r="205" spans="1:24" x14ac:dyDescent="0.2">
      <c r="A205" t="s">
        <v>198</v>
      </c>
      <c r="B205" s="476">
        <f t="shared" si="132"/>
        <v>66628.08</v>
      </c>
      <c r="C205" s="476">
        <f t="shared" si="132"/>
        <v>2776.17</v>
      </c>
      <c r="D205" s="9" t="s">
        <v>194</v>
      </c>
      <c r="E205" s="10">
        <v>5</v>
      </c>
      <c r="F205" s="476">
        <f t="shared" si="138"/>
        <v>66628.08</v>
      </c>
      <c r="G205" s="476">
        <f t="shared" si="139"/>
        <v>2776.17</v>
      </c>
      <c r="H205">
        <f t="shared" si="133"/>
        <v>69739.199999999997</v>
      </c>
      <c r="I205">
        <f t="shared" si="134"/>
        <v>2905.7999999999997</v>
      </c>
      <c r="L205" t="s">
        <v>198</v>
      </c>
      <c r="M205" s="142">
        <f t="shared" si="135"/>
        <v>31.91</v>
      </c>
      <c r="N205" s="476">
        <f t="shared" si="144"/>
        <v>0</v>
      </c>
      <c r="O205" s="142">
        <f t="shared" si="140"/>
        <v>31.91</v>
      </c>
      <c r="P205" s="476">
        <f t="shared" si="141"/>
        <v>66628.08</v>
      </c>
      <c r="Q205" s="476"/>
      <c r="R205" s="476">
        <f t="shared" si="101"/>
        <v>0</v>
      </c>
      <c r="S205" s="476">
        <f t="shared" si="142"/>
        <v>31.91</v>
      </c>
      <c r="T205" s="476">
        <f t="shared" si="136"/>
        <v>66628.08</v>
      </c>
      <c r="U205" t="s">
        <v>198</v>
      </c>
      <c r="V205" s="476">
        <f t="shared" si="137"/>
        <v>0</v>
      </c>
      <c r="W205" s="142">
        <f t="shared" si="143"/>
        <v>0</v>
      </c>
      <c r="X205" s="1076"/>
    </row>
    <row r="206" spans="1:24" x14ac:dyDescent="0.2">
      <c r="A206" t="s">
        <v>199</v>
      </c>
      <c r="B206" s="476">
        <f t="shared" si="132"/>
        <v>69739.199999999997</v>
      </c>
      <c r="C206" s="476">
        <f t="shared" si="132"/>
        <v>2905.7999999999997</v>
      </c>
      <c r="D206" s="9" t="s">
        <v>194</v>
      </c>
      <c r="E206" s="10">
        <v>6</v>
      </c>
      <c r="F206" s="476">
        <f t="shared" si="138"/>
        <v>69739.199999999997</v>
      </c>
      <c r="G206" s="476">
        <f t="shared" si="139"/>
        <v>2905.7999999999997</v>
      </c>
      <c r="H206">
        <f t="shared" si="133"/>
        <v>72871.199999999997</v>
      </c>
      <c r="I206">
        <f t="shared" si="134"/>
        <v>3036.2999999999997</v>
      </c>
      <c r="L206" t="s">
        <v>199</v>
      </c>
      <c r="M206" s="142">
        <f t="shared" si="135"/>
        <v>33.4</v>
      </c>
      <c r="N206" s="476">
        <f t="shared" si="144"/>
        <v>0</v>
      </c>
      <c r="O206" s="142">
        <f t="shared" si="140"/>
        <v>33.4</v>
      </c>
      <c r="P206" s="476">
        <f t="shared" si="141"/>
        <v>69739.199999999997</v>
      </c>
      <c r="Q206" s="476"/>
      <c r="R206" s="476">
        <f t="shared" si="101"/>
        <v>0</v>
      </c>
      <c r="S206" s="476">
        <f t="shared" si="142"/>
        <v>33.4</v>
      </c>
      <c r="T206" s="476">
        <f t="shared" si="136"/>
        <v>69739.199999999997</v>
      </c>
      <c r="U206" t="s">
        <v>199</v>
      </c>
      <c r="V206" s="476">
        <f t="shared" si="137"/>
        <v>0</v>
      </c>
      <c r="W206" s="142">
        <f t="shared" si="143"/>
        <v>0</v>
      </c>
      <c r="X206" s="1076"/>
    </row>
    <row r="207" spans="1:24" x14ac:dyDescent="0.2">
      <c r="A207" t="s">
        <v>200</v>
      </c>
      <c r="B207" s="476">
        <f t="shared" si="132"/>
        <v>72871.199999999997</v>
      </c>
      <c r="C207" s="476">
        <f t="shared" si="132"/>
        <v>3036.2999999999997</v>
      </c>
      <c r="D207" s="9" t="s">
        <v>194</v>
      </c>
      <c r="E207" s="10">
        <v>7</v>
      </c>
      <c r="F207" s="476">
        <f t="shared" si="138"/>
        <v>72871.199999999997</v>
      </c>
      <c r="G207" s="476">
        <f t="shared" si="139"/>
        <v>3036.2999999999997</v>
      </c>
      <c r="H207">
        <f t="shared" si="133"/>
        <v>76170.239999999991</v>
      </c>
      <c r="I207">
        <f t="shared" si="134"/>
        <v>3173.7599999999998</v>
      </c>
      <c r="L207" t="s">
        <v>200</v>
      </c>
      <c r="M207" s="142">
        <f t="shared" si="135"/>
        <v>34.9</v>
      </c>
      <c r="N207" s="476">
        <f t="shared" si="144"/>
        <v>0</v>
      </c>
      <c r="O207" s="142">
        <f t="shared" si="140"/>
        <v>34.9</v>
      </c>
      <c r="P207" s="476">
        <f t="shared" si="141"/>
        <v>72871.199999999997</v>
      </c>
      <c r="Q207" s="476"/>
      <c r="R207" s="476">
        <f t="shared" si="101"/>
        <v>0</v>
      </c>
      <c r="S207" s="476">
        <f t="shared" si="142"/>
        <v>34.9</v>
      </c>
      <c r="T207" s="476">
        <f t="shared" si="136"/>
        <v>72871.199999999997</v>
      </c>
      <c r="U207" t="s">
        <v>200</v>
      </c>
      <c r="V207" s="476">
        <f t="shared" si="137"/>
        <v>0</v>
      </c>
      <c r="W207" s="142">
        <f t="shared" si="143"/>
        <v>0</v>
      </c>
      <c r="X207" s="1076"/>
    </row>
    <row r="208" spans="1:24" x14ac:dyDescent="0.2">
      <c r="A208" t="s">
        <v>201</v>
      </c>
      <c r="B208" s="476">
        <f t="shared" si="132"/>
        <v>76170.239999999991</v>
      </c>
      <c r="C208" s="476">
        <f t="shared" si="132"/>
        <v>3173.7599999999998</v>
      </c>
      <c r="D208" s="9" t="s">
        <v>194</v>
      </c>
      <c r="E208" s="10">
        <v>8</v>
      </c>
      <c r="F208" s="476">
        <f t="shared" si="138"/>
        <v>76170.239999999991</v>
      </c>
      <c r="G208" s="476">
        <f t="shared" si="139"/>
        <v>3173.7599999999998</v>
      </c>
      <c r="H208">
        <f t="shared" si="133"/>
        <v>79719.839999999997</v>
      </c>
      <c r="I208">
        <f t="shared" si="134"/>
        <v>3321.66</v>
      </c>
      <c r="L208" t="s">
        <v>201</v>
      </c>
      <c r="M208" s="142">
        <f t="shared" si="135"/>
        <v>36.479999999999997</v>
      </c>
      <c r="N208" s="476">
        <f t="shared" si="144"/>
        <v>0</v>
      </c>
      <c r="O208" s="142">
        <f t="shared" si="140"/>
        <v>36.479999999999997</v>
      </c>
      <c r="P208" s="476">
        <f t="shared" si="141"/>
        <v>76170.239999999991</v>
      </c>
      <c r="Q208" s="476"/>
      <c r="R208" s="476">
        <f t="shared" si="101"/>
        <v>0</v>
      </c>
      <c r="S208" s="476">
        <f t="shared" si="142"/>
        <v>36.479999999999997</v>
      </c>
      <c r="T208" s="476">
        <f t="shared" si="136"/>
        <v>76170.239999999991</v>
      </c>
      <c r="U208" t="s">
        <v>201</v>
      </c>
      <c r="V208" s="476">
        <f t="shared" si="137"/>
        <v>0</v>
      </c>
      <c r="W208" s="142">
        <f t="shared" si="143"/>
        <v>0</v>
      </c>
      <c r="X208" s="1076"/>
    </row>
    <row r="209" spans="1:24" x14ac:dyDescent="0.2">
      <c r="A209" t="s">
        <v>269</v>
      </c>
      <c r="B209" s="478">
        <f t="shared" si="132"/>
        <v>79719.839999999997</v>
      </c>
      <c r="C209" s="478">
        <f t="shared" si="132"/>
        <v>3321.66</v>
      </c>
      <c r="D209" s="9">
        <v>37</v>
      </c>
      <c r="E209" s="10">
        <v>9</v>
      </c>
      <c r="F209" s="476">
        <f t="shared" si="138"/>
        <v>79719.839999999997</v>
      </c>
      <c r="G209" s="476">
        <f t="shared" si="139"/>
        <v>3321.66</v>
      </c>
      <c r="H209">
        <f t="shared" si="133"/>
        <v>83394.720000000001</v>
      </c>
      <c r="I209">
        <f t="shared" si="134"/>
        <v>3474.78</v>
      </c>
      <c r="L209" t="s">
        <v>269</v>
      </c>
      <c r="M209" s="143">
        <f t="shared" si="135"/>
        <v>38.18</v>
      </c>
      <c r="N209" s="476">
        <f t="shared" si="144"/>
        <v>0</v>
      </c>
      <c r="O209" s="142">
        <f t="shared" si="140"/>
        <v>38.18</v>
      </c>
      <c r="P209" s="476">
        <f t="shared" si="141"/>
        <v>79719.839999999997</v>
      </c>
      <c r="Q209" s="476"/>
      <c r="R209" s="476">
        <f t="shared" si="101"/>
        <v>0</v>
      </c>
      <c r="S209" s="476">
        <f t="shared" si="142"/>
        <v>38.18</v>
      </c>
      <c r="T209" s="478">
        <f t="shared" si="136"/>
        <v>79740.72</v>
      </c>
      <c r="U209" t="s">
        <v>269</v>
      </c>
      <c r="V209" s="478">
        <f t="shared" si="137"/>
        <v>20.88</v>
      </c>
      <c r="W209" s="142">
        <f t="shared" si="143"/>
        <v>20.880000000004657</v>
      </c>
      <c r="X209" s="1076"/>
    </row>
    <row r="210" spans="1:24" x14ac:dyDescent="0.2">
      <c r="A210" t="s">
        <v>305</v>
      </c>
      <c r="B210" s="477">
        <f>P210</f>
        <v>83394.720000000001</v>
      </c>
      <c r="C210" s="477">
        <f>B210/24</f>
        <v>3474.78</v>
      </c>
      <c r="D210" s="9">
        <v>37</v>
      </c>
      <c r="E210" s="10">
        <v>10</v>
      </c>
      <c r="F210" s="476">
        <f t="shared" si="138"/>
        <v>83394.720000000001</v>
      </c>
      <c r="G210" s="476">
        <f t="shared" si="139"/>
        <v>3474.78</v>
      </c>
      <c r="H210">
        <f>F210</f>
        <v>83394.720000000001</v>
      </c>
      <c r="I210">
        <f>G210</f>
        <v>3474.78</v>
      </c>
      <c r="L210" t="s">
        <v>305</v>
      </c>
      <c r="M210" s="612">
        <v>39.94</v>
      </c>
      <c r="N210" s="476">
        <f t="shared" si="144"/>
        <v>0</v>
      </c>
      <c r="O210" s="142">
        <f t="shared" si="140"/>
        <v>39.94</v>
      </c>
      <c r="P210" s="476">
        <f t="shared" si="141"/>
        <v>83394.720000000001</v>
      </c>
      <c r="Q210" s="476"/>
      <c r="R210" s="476">
        <f t="shared" si="101"/>
        <v>0</v>
      </c>
      <c r="S210" s="476">
        <f t="shared" si="142"/>
        <v>39.94</v>
      </c>
      <c r="T210" s="477">
        <f>S210*$T$9</f>
        <v>83394.720000000001</v>
      </c>
      <c r="U210" t="s">
        <v>305</v>
      </c>
      <c r="V210" s="142">
        <f>R210*2088</f>
        <v>0</v>
      </c>
      <c r="W210" s="142">
        <f t="shared" si="143"/>
        <v>0</v>
      </c>
      <c r="X210" s="1076"/>
    </row>
    <row r="211" spans="1:24" x14ac:dyDescent="0.2">
      <c r="A211" t="s">
        <v>202</v>
      </c>
      <c r="B211" s="476">
        <f t="shared" ref="B211:C219" si="145">B202</f>
        <v>58380.480000000003</v>
      </c>
      <c r="C211" s="476">
        <f t="shared" si="145"/>
        <v>2432.52</v>
      </c>
      <c r="D211" s="9" t="s">
        <v>203</v>
      </c>
      <c r="E211" s="10" t="s">
        <v>23</v>
      </c>
      <c r="F211" s="476">
        <f t="shared" si="138"/>
        <v>58380.480000000003</v>
      </c>
      <c r="G211" s="476">
        <f t="shared" si="139"/>
        <v>2432.52</v>
      </c>
      <c r="H211">
        <f t="shared" ref="H211:H219" si="146">F212</f>
        <v>61011.360000000001</v>
      </c>
      <c r="I211">
        <f t="shared" ref="I211:I219" si="147">G212</f>
        <v>2542.14</v>
      </c>
      <c r="L211" t="s">
        <v>202</v>
      </c>
      <c r="M211" s="142">
        <f t="shared" ref="M211:M219" si="148">M202</f>
        <v>27.96</v>
      </c>
      <c r="N211" s="476">
        <f t="shared" si="144"/>
        <v>0</v>
      </c>
      <c r="O211" s="142">
        <f t="shared" si="140"/>
        <v>27.96</v>
      </c>
      <c r="P211" s="476">
        <f t="shared" si="141"/>
        <v>58380.480000000003</v>
      </c>
      <c r="Q211" s="476"/>
      <c r="R211" s="476">
        <f t="shared" si="101"/>
        <v>0</v>
      </c>
      <c r="S211" s="476">
        <f t="shared" si="142"/>
        <v>27.96</v>
      </c>
      <c r="T211" s="476">
        <f t="shared" ref="T211:T219" si="149">T202</f>
        <v>58380.480000000003</v>
      </c>
      <c r="U211" t="s">
        <v>202</v>
      </c>
      <c r="V211" s="476">
        <f t="shared" ref="V211:V219" si="150">V202</f>
        <v>0</v>
      </c>
      <c r="W211" s="142">
        <f t="shared" si="143"/>
        <v>0</v>
      </c>
      <c r="X211" s="1076"/>
    </row>
    <row r="212" spans="1:24" x14ac:dyDescent="0.2">
      <c r="A212" t="s">
        <v>204</v>
      </c>
      <c r="B212" s="476">
        <f t="shared" si="145"/>
        <v>61011.360000000001</v>
      </c>
      <c r="C212" s="476">
        <f t="shared" si="145"/>
        <v>2542.14</v>
      </c>
      <c r="D212" s="9" t="s">
        <v>203</v>
      </c>
      <c r="E212" s="10">
        <v>2</v>
      </c>
      <c r="F212" s="476">
        <f t="shared" si="138"/>
        <v>61011.360000000001</v>
      </c>
      <c r="G212" s="476">
        <f t="shared" si="139"/>
        <v>2542.14</v>
      </c>
      <c r="H212">
        <f t="shared" si="146"/>
        <v>63746.64</v>
      </c>
      <c r="I212">
        <f t="shared" si="147"/>
        <v>2656.11</v>
      </c>
      <c r="L212" t="s">
        <v>204</v>
      </c>
      <c r="M212" s="142">
        <f t="shared" si="148"/>
        <v>29.22</v>
      </c>
      <c r="N212" s="476">
        <f t="shared" si="144"/>
        <v>0</v>
      </c>
      <c r="O212" s="142">
        <f t="shared" si="140"/>
        <v>29.22</v>
      </c>
      <c r="P212" s="476">
        <f t="shared" si="141"/>
        <v>61011.360000000001</v>
      </c>
      <c r="Q212" s="476"/>
      <c r="R212" s="476">
        <f t="shared" si="101"/>
        <v>0</v>
      </c>
      <c r="S212" s="476">
        <f t="shared" si="142"/>
        <v>29.22</v>
      </c>
      <c r="T212" s="476">
        <f t="shared" si="149"/>
        <v>61011.360000000001</v>
      </c>
      <c r="U212" t="s">
        <v>204</v>
      </c>
      <c r="V212" s="476">
        <f t="shared" si="150"/>
        <v>0</v>
      </c>
      <c r="W212" s="142">
        <f t="shared" si="143"/>
        <v>0</v>
      </c>
      <c r="X212" s="1076"/>
    </row>
    <row r="213" spans="1:24" x14ac:dyDescent="0.2">
      <c r="A213" t="s">
        <v>205</v>
      </c>
      <c r="B213" s="476">
        <f t="shared" si="145"/>
        <v>63746.64</v>
      </c>
      <c r="C213" s="476">
        <f t="shared" si="145"/>
        <v>2656.11</v>
      </c>
      <c r="D213" s="9" t="s">
        <v>203</v>
      </c>
      <c r="E213" s="10">
        <v>3</v>
      </c>
      <c r="F213" s="476">
        <f t="shared" si="138"/>
        <v>63746.64</v>
      </c>
      <c r="G213" s="476">
        <f t="shared" si="139"/>
        <v>2656.11</v>
      </c>
      <c r="H213">
        <f t="shared" si="146"/>
        <v>66628.08</v>
      </c>
      <c r="I213">
        <f t="shared" si="147"/>
        <v>2776.17</v>
      </c>
      <c r="L213" t="s">
        <v>205</v>
      </c>
      <c r="M213" s="142">
        <f t="shared" si="148"/>
        <v>30.53</v>
      </c>
      <c r="N213" s="476">
        <f t="shared" si="144"/>
        <v>0</v>
      </c>
      <c r="O213" s="142">
        <f t="shared" si="140"/>
        <v>30.53</v>
      </c>
      <c r="P213" s="476">
        <f t="shared" si="141"/>
        <v>63746.64</v>
      </c>
      <c r="Q213" s="476"/>
      <c r="R213" s="476">
        <f t="shared" ref="R213:R276" si="151">ROUND(+M213*$R$9,2)</f>
        <v>0</v>
      </c>
      <c r="S213" s="476">
        <f t="shared" si="142"/>
        <v>30.53</v>
      </c>
      <c r="T213" s="476">
        <f t="shared" si="149"/>
        <v>63746.64</v>
      </c>
      <c r="U213" t="s">
        <v>205</v>
      </c>
      <c r="V213" s="476">
        <f t="shared" si="150"/>
        <v>0</v>
      </c>
      <c r="W213" s="142">
        <f t="shared" si="143"/>
        <v>0</v>
      </c>
      <c r="X213" s="1076"/>
    </row>
    <row r="214" spans="1:24" x14ac:dyDescent="0.2">
      <c r="A214" t="s">
        <v>206</v>
      </c>
      <c r="B214" s="476">
        <f t="shared" si="145"/>
        <v>66628.08</v>
      </c>
      <c r="C214" s="476">
        <f t="shared" si="145"/>
        <v>2776.17</v>
      </c>
      <c r="D214" s="9" t="s">
        <v>203</v>
      </c>
      <c r="E214" s="10">
        <v>4</v>
      </c>
      <c r="F214" s="476">
        <f t="shared" si="138"/>
        <v>66628.08</v>
      </c>
      <c r="G214" s="476">
        <f t="shared" si="139"/>
        <v>2776.17</v>
      </c>
      <c r="H214">
        <f t="shared" si="146"/>
        <v>69739.199999999997</v>
      </c>
      <c r="I214">
        <f t="shared" si="147"/>
        <v>2905.7999999999997</v>
      </c>
      <c r="L214" t="s">
        <v>206</v>
      </c>
      <c r="M214" s="142">
        <f t="shared" si="148"/>
        <v>31.91</v>
      </c>
      <c r="N214" s="476">
        <f t="shared" si="144"/>
        <v>0</v>
      </c>
      <c r="O214" s="142">
        <f t="shared" si="140"/>
        <v>31.91</v>
      </c>
      <c r="P214" s="476">
        <f t="shared" si="141"/>
        <v>66628.08</v>
      </c>
      <c r="Q214" s="476"/>
      <c r="R214" s="476">
        <f t="shared" si="151"/>
        <v>0</v>
      </c>
      <c r="S214" s="476">
        <f t="shared" si="142"/>
        <v>31.91</v>
      </c>
      <c r="T214" s="476">
        <f t="shared" si="149"/>
        <v>66628.08</v>
      </c>
      <c r="U214" t="s">
        <v>206</v>
      </c>
      <c r="V214" s="476">
        <f t="shared" si="150"/>
        <v>0</v>
      </c>
      <c r="W214" s="142">
        <f t="shared" si="143"/>
        <v>0</v>
      </c>
      <c r="X214" s="1076"/>
    </row>
    <row r="215" spans="1:24" x14ac:dyDescent="0.2">
      <c r="A215" t="s">
        <v>207</v>
      </c>
      <c r="B215" s="476">
        <f t="shared" si="145"/>
        <v>69739.199999999997</v>
      </c>
      <c r="C215" s="476">
        <f t="shared" si="145"/>
        <v>2905.7999999999997</v>
      </c>
      <c r="D215" s="9" t="s">
        <v>203</v>
      </c>
      <c r="E215" s="10">
        <v>5</v>
      </c>
      <c r="F215" s="476">
        <f t="shared" si="138"/>
        <v>69739.199999999997</v>
      </c>
      <c r="G215" s="476">
        <f t="shared" si="139"/>
        <v>2905.7999999999997</v>
      </c>
      <c r="H215">
        <f t="shared" si="146"/>
        <v>72871.199999999997</v>
      </c>
      <c r="I215">
        <f t="shared" si="147"/>
        <v>3036.2999999999997</v>
      </c>
      <c r="L215" t="s">
        <v>207</v>
      </c>
      <c r="M215" s="142">
        <f t="shared" si="148"/>
        <v>33.4</v>
      </c>
      <c r="N215" s="476">
        <f t="shared" si="144"/>
        <v>0</v>
      </c>
      <c r="O215" s="142">
        <f t="shared" si="140"/>
        <v>33.4</v>
      </c>
      <c r="P215" s="476">
        <f t="shared" si="141"/>
        <v>69739.199999999997</v>
      </c>
      <c r="Q215" s="476"/>
      <c r="R215" s="476">
        <f t="shared" si="151"/>
        <v>0</v>
      </c>
      <c r="S215" s="476">
        <f t="shared" si="142"/>
        <v>33.4</v>
      </c>
      <c r="T215" s="476">
        <f t="shared" si="149"/>
        <v>69739.199999999997</v>
      </c>
      <c r="U215" t="s">
        <v>207</v>
      </c>
      <c r="V215" s="476">
        <f t="shared" si="150"/>
        <v>0</v>
      </c>
      <c r="W215" s="142">
        <f t="shared" si="143"/>
        <v>0</v>
      </c>
      <c r="X215" s="1076"/>
    </row>
    <row r="216" spans="1:24" x14ac:dyDescent="0.2">
      <c r="A216" t="s">
        <v>208</v>
      </c>
      <c r="B216" s="476">
        <f t="shared" si="145"/>
        <v>72871.199999999997</v>
      </c>
      <c r="C216" s="476">
        <f t="shared" si="145"/>
        <v>3036.2999999999997</v>
      </c>
      <c r="D216" s="9" t="s">
        <v>203</v>
      </c>
      <c r="E216" s="10">
        <v>6</v>
      </c>
      <c r="F216" s="476">
        <f t="shared" si="138"/>
        <v>72871.199999999997</v>
      </c>
      <c r="G216" s="476">
        <f t="shared" si="139"/>
        <v>3036.2999999999997</v>
      </c>
      <c r="H216">
        <f t="shared" si="146"/>
        <v>76170.239999999991</v>
      </c>
      <c r="I216">
        <f t="shared" si="147"/>
        <v>3173.7599999999998</v>
      </c>
      <c r="L216" t="s">
        <v>208</v>
      </c>
      <c r="M216" s="142">
        <f t="shared" si="148"/>
        <v>34.9</v>
      </c>
      <c r="N216" s="476">
        <f t="shared" si="144"/>
        <v>0</v>
      </c>
      <c r="O216" s="142">
        <f t="shared" si="140"/>
        <v>34.9</v>
      </c>
      <c r="P216" s="476">
        <f t="shared" si="141"/>
        <v>72871.199999999997</v>
      </c>
      <c r="Q216" s="476"/>
      <c r="R216" s="476">
        <f t="shared" si="151"/>
        <v>0</v>
      </c>
      <c r="S216" s="476">
        <f t="shared" si="142"/>
        <v>34.9</v>
      </c>
      <c r="T216" s="476">
        <f t="shared" si="149"/>
        <v>72871.199999999997</v>
      </c>
      <c r="U216" t="s">
        <v>208</v>
      </c>
      <c r="V216" s="476">
        <f t="shared" si="150"/>
        <v>0</v>
      </c>
      <c r="W216" s="142">
        <f t="shared" si="143"/>
        <v>0</v>
      </c>
      <c r="X216" s="1076"/>
    </row>
    <row r="217" spans="1:24" x14ac:dyDescent="0.2">
      <c r="A217" t="s">
        <v>209</v>
      </c>
      <c r="B217" s="476">
        <f t="shared" si="145"/>
        <v>76170.239999999991</v>
      </c>
      <c r="C217" s="476">
        <f t="shared" si="145"/>
        <v>3173.7599999999998</v>
      </c>
      <c r="D217" s="9" t="s">
        <v>203</v>
      </c>
      <c r="E217" s="10">
        <v>7</v>
      </c>
      <c r="F217" s="476">
        <f t="shared" si="138"/>
        <v>76170.239999999991</v>
      </c>
      <c r="G217" s="476">
        <f t="shared" si="139"/>
        <v>3173.7599999999998</v>
      </c>
      <c r="H217">
        <f t="shared" si="146"/>
        <v>79719.839999999997</v>
      </c>
      <c r="I217">
        <f t="shared" si="147"/>
        <v>3321.66</v>
      </c>
      <c r="L217" t="s">
        <v>209</v>
      </c>
      <c r="M217" s="142">
        <f t="shared" si="148"/>
        <v>36.479999999999997</v>
      </c>
      <c r="N217" s="476">
        <f t="shared" si="144"/>
        <v>0</v>
      </c>
      <c r="O217" s="142">
        <f t="shared" si="140"/>
        <v>36.479999999999997</v>
      </c>
      <c r="P217" s="476">
        <f t="shared" si="141"/>
        <v>76170.239999999991</v>
      </c>
      <c r="Q217" s="476"/>
      <c r="R217" s="476">
        <f t="shared" si="151"/>
        <v>0</v>
      </c>
      <c r="S217" s="476">
        <f t="shared" si="142"/>
        <v>36.479999999999997</v>
      </c>
      <c r="T217" s="476">
        <f t="shared" si="149"/>
        <v>76170.239999999991</v>
      </c>
      <c r="U217" t="s">
        <v>209</v>
      </c>
      <c r="V217" s="476">
        <f t="shared" si="150"/>
        <v>0</v>
      </c>
      <c r="W217" s="142">
        <f t="shared" si="143"/>
        <v>0</v>
      </c>
      <c r="X217" s="1076"/>
    </row>
    <row r="218" spans="1:24" x14ac:dyDescent="0.2">
      <c r="A218" t="s">
        <v>210</v>
      </c>
      <c r="B218" s="476">
        <f t="shared" si="145"/>
        <v>79719.839999999997</v>
      </c>
      <c r="C218" s="476">
        <f t="shared" si="145"/>
        <v>3321.66</v>
      </c>
      <c r="D218" s="9" t="s">
        <v>203</v>
      </c>
      <c r="E218" s="10">
        <v>8</v>
      </c>
      <c r="F218" s="476">
        <f t="shared" si="138"/>
        <v>79719.839999999997</v>
      </c>
      <c r="G218" s="476">
        <f t="shared" si="139"/>
        <v>3321.66</v>
      </c>
      <c r="H218">
        <f t="shared" si="146"/>
        <v>83394.720000000001</v>
      </c>
      <c r="I218">
        <f t="shared" si="147"/>
        <v>3474.78</v>
      </c>
      <c r="L218" t="s">
        <v>210</v>
      </c>
      <c r="M218" s="142">
        <f t="shared" si="148"/>
        <v>38.18</v>
      </c>
      <c r="N218" s="476">
        <f t="shared" si="144"/>
        <v>0</v>
      </c>
      <c r="O218" s="142">
        <f t="shared" si="140"/>
        <v>38.18</v>
      </c>
      <c r="P218" s="476">
        <f t="shared" si="141"/>
        <v>79719.839999999997</v>
      </c>
      <c r="Q218" s="476"/>
      <c r="R218" s="476">
        <f t="shared" si="151"/>
        <v>0</v>
      </c>
      <c r="S218" s="476">
        <f t="shared" si="142"/>
        <v>38.18</v>
      </c>
      <c r="T218" s="476">
        <f t="shared" si="149"/>
        <v>79740.72</v>
      </c>
      <c r="U218" t="s">
        <v>210</v>
      </c>
      <c r="V218" s="476">
        <f t="shared" si="150"/>
        <v>20.88</v>
      </c>
      <c r="W218" s="142">
        <f t="shared" si="143"/>
        <v>20.880000000004657</v>
      </c>
      <c r="X218" s="1076"/>
    </row>
    <row r="219" spans="1:24" x14ac:dyDescent="0.2">
      <c r="A219" t="s">
        <v>270</v>
      </c>
      <c r="B219" s="478">
        <f t="shared" si="145"/>
        <v>83394.720000000001</v>
      </c>
      <c r="C219" s="478">
        <f t="shared" si="145"/>
        <v>3474.78</v>
      </c>
      <c r="D219" s="9">
        <v>38</v>
      </c>
      <c r="E219" s="10">
        <v>9</v>
      </c>
      <c r="F219" s="476">
        <f t="shared" si="138"/>
        <v>83394.720000000001</v>
      </c>
      <c r="G219" s="476">
        <f t="shared" si="139"/>
        <v>3474.78</v>
      </c>
      <c r="H219">
        <f t="shared" si="146"/>
        <v>87320.16</v>
      </c>
      <c r="I219">
        <f t="shared" si="147"/>
        <v>3638.34</v>
      </c>
      <c r="L219" t="s">
        <v>270</v>
      </c>
      <c r="M219" s="143">
        <f t="shared" si="148"/>
        <v>39.94</v>
      </c>
      <c r="N219" s="476">
        <f t="shared" si="144"/>
        <v>0</v>
      </c>
      <c r="O219" s="142">
        <f t="shared" si="140"/>
        <v>39.94</v>
      </c>
      <c r="P219" s="476">
        <f t="shared" si="141"/>
        <v>83394.720000000001</v>
      </c>
      <c r="Q219" s="476"/>
      <c r="R219" s="476">
        <f t="shared" si="151"/>
        <v>0</v>
      </c>
      <c r="S219" s="476">
        <f t="shared" si="142"/>
        <v>39.94</v>
      </c>
      <c r="T219" s="478">
        <f t="shared" si="149"/>
        <v>83394.720000000001</v>
      </c>
      <c r="U219" t="s">
        <v>270</v>
      </c>
      <c r="V219" s="478">
        <f t="shared" si="150"/>
        <v>0</v>
      </c>
      <c r="W219" s="142">
        <f t="shared" si="143"/>
        <v>0</v>
      </c>
      <c r="X219" s="1076"/>
    </row>
    <row r="220" spans="1:24" x14ac:dyDescent="0.2">
      <c r="A220" t="s">
        <v>306</v>
      </c>
      <c r="B220" s="477">
        <f>P220</f>
        <v>87320.16</v>
      </c>
      <c r="C220" s="477">
        <f>B220/24</f>
        <v>3638.34</v>
      </c>
      <c r="D220" s="9">
        <v>38</v>
      </c>
      <c r="E220" s="10">
        <v>10</v>
      </c>
      <c r="F220" s="476">
        <f t="shared" si="138"/>
        <v>87320.16</v>
      </c>
      <c r="G220" s="476">
        <f t="shared" si="139"/>
        <v>3638.34</v>
      </c>
      <c r="H220">
        <f>F220</f>
        <v>87320.16</v>
      </c>
      <c r="I220">
        <f>G220</f>
        <v>3638.34</v>
      </c>
      <c r="L220" t="s">
        <v>306</v>
      </c>
      <c r="M220" s="612">
        <v>41.82</v>
      </c>
      <c r="N220" s="476">
        <f t="shared" si="144"/>
        <v>0</v>
      </c>
      <c r="O220" s="142">
        <f t="shared" si="140"/>
        <v>41.82</v>
      </c>
      <c r="P220" s="476">
        <f t="shared" si="141"/>
        <v>87320.16</v>
      </c>
      <c r="Q220" s="476"/>
      <c r="R220" s="476">
        <f t="shared" si="151"/>
        <v>0</v>
      </c>
      <c r="S220" s="476">
        <f t="shared" si="142"/>
        <v>41.82</v>
      </c>
      <c r="T220" s="477">
        <f>S220*$T$9</f>
        <v>87320.16</v>
      </c>
      <c r="U220" t="s">
        <v>306</v>
      </c>
      <c r="V220" s="142">
        <f>R220*2088</f>
        <v>0</v>
      </c>
      <c r="W220" s="142">
        <f t="shared" si="143"/>
        <v>0</v>
      </c>
      <c r="X220" s="1076"/>
    </row>
    <row r="221" spans="1:24" x14ac:dyDescent="0.2">
      <c r="A221" t="s">
        <v>211</v>
      </c>
      <c r="B221" s="476">
        <f t="shared" ref="B221:C229" si="152">B212</f>
        <v>61011.360000000001</v>
      </c>
      <c r="C221" s="476">
        <f t="shared" si="152"/>
        <v>2542.14</v>
      </c>
      <c r="D221" s="9" t="s">
        <v>212</v>
      </c>
      <c r="E221" s="10" t="s">
        <v>23</v>
      </c>
      <c r="F221" s="476">
        <f t="shared" si="138"/>
        <v>61011.360000000001</v>
      </c>
      <c r="G221" s="476">
        <f t="shared" si="139"/>
        <v>2542.14</v>
      </c>
      <c r="H221">
        <f t="shared" ref="H221:H229" si="153">F222</f>
        <v>63746.64</v>
      </c>
      <c r="I221">
        <f t="shared" ref="I221:I229" si="154">G222</f>
        <v>2656.11</v>
      </c>
      <c r="L221" t="s">
        <v>211</v>
      </c>
      <c r="M221" s="142">
        <f t="shared" ref="M221:M229" si="155">M212</f>
        <v>29.22</v>
      </c>
      <c r="N221" s="476">
        <f t="shared" si="144"/>
        <v>0</v>
      </c>
      <c r="O221" s="142">
        <f t="shared" si="140"/>
        <v>29.22</v>
      </c>
      <c r="P221" s="476">
        <f t="shared" si="141"/>
        <v>61011.360000000001</v>
      </c>
      <c r="Q221" s="476"/>
      <c r="R221" s="476">
        <f t="shared" si="151"/>
        <v>0</v>
      </c>
      <c r="S221" s="476">
        <f t="shared" si="142"/>
        <v>29.22</v>
      </c>
      <c r="T221" s="476">
        <f t="shared" ref="T221:T229" si="156">T212</f>
        <v>61011.360000000001</v>
      </c>
      <c r="U221" t="s">
        <v>211</v>
      </c>
      <c r="V221" s="476">
        <f t="shared" ref="V221:V229" si="157">V212</f>
        <v>0</v>
      </c>
      <c r="W221" s="142">
        <f t="shared" si="143"/>
        <v>0</v>
      </c>
      <c r="X221" s="1076"/>
    </row>
    <row r="222" spans="1:24" x14ac:dyDescent="0.2">
      <c r="A222" t="s">
        <v>213</v>
      </c>
      <c r="B222" s="476">
        <f t="shared" si="152"/>
        <v>63746.64</v>
      </c>
      <c r="C222" s="476">
        <f t="shared" si="152"/>
        <v>2656.11</v>
      </c>
      <c r="D222" s="9" t="s">
        <v>212</v>
      </c>
      <c r="E222" s="10">
        <v>2</v>
      </c>
      <c r="F222" s="476">
        <f t="shared" si="138"/>
        <v>63746.64</v>
      </c>
      <c r="G222" s="476">
        <f t="shared" si="139"/>
        <v>2656.11</v>
      </c>
      <c r="H222">
        <f t="shared" si="153"/>
        <v>66628.08</v>
      </c>
      <c r="I222">
        <f t="shared" si="154"/>
        <v>2776.17</v>
      </c>
      <c r="L222" t="s">
        <v>213</v>
      </c>
      <c r="M222" s="142">
        <f t="shared" si="155"/>
        <v>30.53</v>
      </c>
      <c r="N222" s="476">
        <f t="shared" si="144"/>
        <v>0</v>
      </c>
      <c r="O222" s="142">
        <f t="shared" si="140"/>
        <v>30.53</v>
      </c>
      <c r="P222" s="476">
        <f t="shared" si="141"/>
        <v>63746.64</v>
      </c>
      <c r="Q222" s="476"/>
      <c r="R222" s="476">
        <f t="shared" si="151"/>
        <v>0</v>
      </c>
      <c r="S222" s="476">
        <f t="shared" si="142"/>
        <v>30.53</v>
      </c>
      <c r="T222" s="476">
        <f t="shared" si="156"/>
        <v>63746.64</v>
      </c>
      <c r="U222" t="s">
        <v>213</v>
      </c>
      <c r="V222" s="476">
        <f t="shared" si="157"/>
        <v>0</v>
      </c>
      <c r="W222" s="142">
        <f t="shared" si="143"/>
        <v>0</v>
      </c>
      <c r="X222" s="1076"/>
    </row>
    <row r="223" spans="1:24" x14ac:dyDescent="0.2">
      <c r="A223" t="s">
        <v>214</v>
      </c>
      <c r="B223" s="476">
        <f t="shared" si="152"/>
        <v>66628.08</v>
      </c>
      <c r="C223" s="476">
        <f t="shared" si="152"/>
        <v>2776.17</v>
      </c>
      <c r="D223" s="9" t="s">
        <v>212</v>
      </c>
      <c r="E223" s="10">
        <v>3</v>
      </c>
      <c r="F223" s="476">
        <f t="shared" si="138"/>
        <v>66628.08</v>
      </c>
      <c r="G223" s="476">
        <f t="shared" si="139"/>
        <v>2776.17</v>
      </c>
      <c r="H223">
        <f t="shared" si="153"/>
        <v>69739.199999999997</v>
      </c>
      <c r="I223">
        <f t="shared" si="154"/>
        <v>2905.7999999999997</v>
      </c>
      <c r="L223" t="s">
        <v>214</v>
      </c>
      <c r="M223" s="142">
        <f t="shared" si="155"/>
        <v>31.91</v>
      </c>
      <c r="N223" s="476">
        <f t="shared" si="144"/>
        <v>0</v>
      </c>
      <c r="O223" s="142">
        <f t="shared" si="140"/>
        <v>31.91</v>
      </c>
      <c r="P223" s="476">
        <f t="shared" si="141"/>
        <v>66628.08</v>
      </c>
      <c r="Q223" s="476"/>
      <c r="R223" s="476">
        <f t="shared" si="151"/>
        <v>0</v>
      </c>
      <c r="S223" s="476">
        <f t="shared" si="142"/>
        <v>31.91</v>
      </c>
      <c r="T223" s="476">
        <f t="shared" si="156"/>
        <v>66628.08</v>
      </c>
      <c r="U223" t="s">
        <v>214</v>
      </c>
      <c r="V223" s="476">
        <f t="shared" si="157"/>
        <v>0</v>
      </c>
      <c r="W223" s="142">
        <f t="shared" si="143"/>
        <v>0</v>
      </c>
      <c r="X223" s="1076"/>
    </row>
    <row r="224" spans="1:24" x14ac:dyDescent="0.2">
      <c r="A224" t="s">
        <v>215</v>
      </c>
      <c r="B224" s="476">
        <f t="shared" si="152"/>
        <v>69739.199999999997</v>
      </c>
      <c r="C224" s="476">
        <f t="shared" si="152"/>
        <v>2905.7999999999997</v>
      </c>
      <c r="D224" s="9" t="s">
        <v>212</v>
      </c>
      <c r="E224" s="10">
        <v>4</v>
      </c>
      <c r="F224" s="476">
        <f t="shared" si="138"/>
        <v>69739.199999999997</v>
      </c>
      <c r="G224" s="476">
        <f t="shared" si="139"/>
        <v>2905.7999999999997</v>
      </c>
      <c r="H224">
        <f t="shared" si="153"/>
        <v>72871.199999999997</v>
      </c>
      <c r="I224">
        <f t="shared" si="154"/>
        <v>3036.2999999999997</v>
      </c>
      <c r="L224" t="s">
        <v>215</v>
      </c>
      <c r="M224" s="142">
        <f t="shared" si="155"/>
        <v>33.4</v>
      </c>
      <c r="N224" s="476">
        <f t="shared" si="144"/>
        <v>0</v>
      </c>
      <c r="O224" s="142">
        <f t="shared" si="140"/>
        <v>33.4</v>
      </c>
      <c r="P224" s="476">
        <f t="shared" si="141"/>
        <v>69739.199999999997</v>
      </c>
      <c r="Q224" s="476"/>
      <c r="R224" s="476">
        <f t="shared" si="151"/>
        <v>0</v>
      </c>
      <c r="S224" s="476">
        <f t="shared" si="142"/>
        <v>33.4</v>
      </c>
      <c r="T224" s="476">
        <f t="shared" si="156"/>
        <v>69739.199999999997</v>
      </c>
      <c r="U224" t="s">
        <v>215</v>
      </c>
      <c r="V224" s="476">
        <f t="shared" si="157"/>
        <v>0</v>
      </c>
      <c r="W224" s="142">
        <f t="shared" si="143"/>
        <v>0</v>
      </c>
      <c r="X224" s="1076"/>
    </row>
    <row r="225" spans="1:24" x14ac:dyDescent="0.2">
      <c r="A225" t="s">
        <v>216</v>
      </c>
      <c r="B225" s="476">
        <f t="shared" si="152"/>
        <v>72871.199999999997</v>
      </c>
      <c r="C225" s="476">
        <f t="shared" si="152"/>
        <v>3036.2999999999997</v>
      </c>
      <c r="D225" s="9" t="s">
        <v>212</v>
      </c>
      <c r="E225" s="10">
        <v>5</v>
      </c>
      <c r="F225" s="476">
        <f t="shared" si="138"/>
        <v>72871.199999999997</v>
      </c>
      <c r="G225" s="476">
        <f t="shared" si="139"/>
        <v>3036.2999999999997</v>
      </c>
      <c r="H225">
        <f t="shared" si="153"/>
        <v>76170.239999999991</v>
      </c>
      <c r="I225">
        <f t="shared" si="154"/>
        <v>3173.7599999999998</v>
      </c>
      <c r="L225" t="s">
        <v>216</v>
      </c>
      <c r="M225" s="142">
        <f t="shared" si="155"/>
        <v>34.9</v>
      </c>
      <c r="N225" s="476">
        <f t="shared" si="144"/>
        <v>0</v>
      </c>
      <c r="O225" s="142">
        <f t="shared" si="140"/>
        <v>34.9</v>
      </c>
      <c r="P225" s="476">
        <f t="shared" si="141"/>
        <v>72871.199999999997</v>
      </c>
      <c r="Q225" s="476"/>
      <c r="R225" s="476">
        <f t="shared" si="151"/>
        <v>0</v>
      </c>
      <c r="S225" s="476">
        <f t="shared" si="142"/>
        <v>34.9</v>
      </c>
      <c r="T225" s="476">
        <f t="shared" si="156"/>
        <v>72871.199999999997</v>
      </c>
      <c r="U225" t="s">
        <v>216</v>
      </c>
      <c r="V225" s="476">
        <f t="shared" si="157"/>
        <v>0</v>
      </c>
      <c r="W225" s="142">
        <f t="shared" si="143"/>
        <v>0</v>
      </c>
      <c r="X225" s="1076"/>
    </row>
    <row r="226" spans="1:24" x14ac:dyDescent="0.2">
      <c r="A226" t="s">
        <v>217</v>
      </c>
      <c r="B226" s="476">
        <f t="shared" si="152"/>
        <v>76170.239999999991</v>
      </c>
      <c r="C226" s="476">
        <f t="shared" si="152"/>
        <v>3173.7599999999998</v>
      </c>
      <c r="D226" s="9" t="s">
        <v>212</v>
      </c>
      <c r="E226" s="10">
        <v>6</v>
      </c>
      <c r="F226" s="476">
        <f t="shared" si="138"/>
        <v>76170.239999999991</v>
      </c>
      <c r="G226" s="476">
        <f t="shared" si="139"/>
        <v>3173.7599999999998</v>
      </c>
      <c r="H226">
        <f t="shared" si="153"/>
        <v>79719.839999999997</v>
      </c>
      <c r="I226">
        <f t="shared" si="154"/>
        <v>3321.66</v>
      </c>
      <c r="L226" t="s">
        <v>217</v>
      </c>
      <c r="M226" s="142">
        <f t="shared" si="155"/>
        <v>36.479999999999997</v>
      </c>
      <c r="N226" s="476">
        <f t="shared" si="144"/>
        <v>0</v>
      </c>
      <c r="O226" s="142">
        <f t="shared" si="140"/>
        <v>36.479999999999997</v>
      </c>
      <c r="P226" s="476">
        <f t="shared" si="141"/>
        <v>76170.239999999991</v>
      </c>
      <c r="Q226" s="476"/>
      <c r="R226" s="476">
        <f t="shared" si="151"/>
        <v>0</v>
      </c>
      <c r="S226" s="476">
        <f t="shared" si="142"/>
        <v>36.479999999999997</v>
      </c>
      <c r="T226" s="476">
        <f t="shared" si="156"/>
        <v>76170.239999999991</v>
      </c>
      <c r="U226" t="s">
        <v>217</v>
      </c>
      <c r="V226" s="476">
        <f t="shared" si="157"/>
        <v>0</v>
      </c>
      <c r="W226" s="142">
        <f t="shared" si="143"/>
        <v>0</v>
      </c>
      <c r="X226" s="1076"/>
    </row>
    <row r="227" spans="1:24" x14ac:dyDescent="0.2">
      <c r="A227" t="s">
        <v>218</v>
      </c>
      <c r="B227" s="476">
        <f t="shared" si="152"/>
        <v>79719.839999999997</v>
      </c>
      <c r="C227" s="476">
        <f t="shared" si="152"/>
        <v>3321.66</v>
      </c>
      <c r="D227" s="9" t="s">
        <v>212</v>
      </c>
      <c r="E227" s="10">
        <v>7</v>
      </c>
      <c r="F227" s="476">
        <f t="shared" si="138"/>
        <v>79719.839999999997</v>
      </c>
      <c r="G227" s="476">
        <f t="shared" si="139"/>
        <v>3321.66</v>
      </c>
      <c r="H227">
        <f t="shared" si="153"/>
        <v>83394.720000000001</v>
      </c>
      <c r="I227">
        <f t="shared" si="154"/>
        <v>3474.78</v>
      </c>
      <c r="L227" t="s">
        <v>218</v>
      </c>
      <c r="M227" s="142">
        <f t="shared" si="155"/>
        <v>38.18</v>
      </c>
      <c r="N227" s="476">
        <f t="shared" si="144"/>
        <v>0</v>
      </c>
      <c r="O227" s="142">
        <f t="shared" si="140"/>
        <v>38.18</v>
      </c>
      <c r="P227" s="476">
        <f t="shared" si="141"/>
        <v>79719.839999999997</v>
      </c>
      <c r="Q227" s="476"/>
      <c r="R227" s="476">
        <f t="shared" si="151"/>
        <v>0</v>
      </c>
      <c r="S227" s="476">
        <f t="shared" si="142"/>
        <v>38.18</v>
      </c>
      <c r="T227" s="476">
        <f t="shared" si="156"/>
        <v>79740.72</v>
      </c>
      <c r="U227" t="s">
        <v>218</v>
      </c>
      <c r="V227" s="476">
        <f t="shared" si="157"/>
        <v>20.88</v>
      </c>
      <c r="W227" s="142">
        <f t="shared" si="143"/>
        <v>20.880000000004657</v>
      </c>
      <c r="X227" s="1076"/>
    </row>
    <row r="228" spans="1:24" x14ac:dyDescent="0.2">
      <c r="A228" t="s">
        <v>219</v>
      </c>
      <c r="B228" s="476">
        <f t="shared" si="152"/>
        <v>83394.720000000001</v>
      </c>
      <c r="C228" s="476">
        <f t="shared" si="152"/>
        <v>3474.78</v>
      </c>
      <c r="D228" s="9" t="s">
        <v>212</v>
      </c>
      <c r="E228" s="10">
        <v>8</v>
      </c>
      <c r="F228" s="476">
        <f t="shared" si="138"/>
        <v>83394.720000000001</v>
      </c>
      <c r="G228" s="476">
        <f t="shared" si="139"/>
        <v>3474.78</v>
      </c>
      <c r="H228">
        <f t="shared" si="153"/>
        <v>87320.16</v>
      </c>
      <c r="I228">
        <f t="shared" si="154"/>
        <v>3638.34</v>
      </c>
      <c r="L228" t="s">
        <v>219</v>
      </c>
      <c r="M228" s="142">
        <f t="shared" si="155"/>
        <v>39.94</v>
      </c>
      <c r="N228" s="476">
        <f t="shared" si="144"/>
        <v>0</v>
      </c>
      <c r="O228" s="142">
        <f t="shared" si="140"/>
        <v>39.94</v>
      </c>
      <c r="P228" s="476">
        <f t="shared" si="141"/>
        <v>83394.720000000001</v>
      </c>
      <c r="Q228" s="476"/>
      <c r="R228" s="476">
        <f t="shared" si="151"/>
        <v>0</v>
      </c>
      <c r="S228" s="476">
        <f t="shared" si="142"/>
        <v>39.94</v>
      </c>
      <c r="T228" s="476">
        <f t="shared" si="156"/>
        <v>83394.720000000001</v>
      </c>
      <c r="U228" t="s">
        <v>219</v>
      </c>
      <c r="V228" s="476">
        <f t="shared" si="157"/>
        <v>0</v>
      </c>
      <c r="W228" s="142">
        <f t="shared" si="143"/>
        <v>0</v>
      </c>
      <c r="X228" s="1076"/>
    </row>
    <row r="229" spans="1:24" x14ac:dyDescent="0.2">
      <c r="A229" t="s">
        <v>271</v>
      </c>
      <c r="B229" s="478">
        <f t="shared" si="152"/>
        <v>87320.16</v>
      </c>
      <c r="C229" s="478">
        <f t="shared" si="152"/>
        <v>3638.34</v>
      </c>
      <c r="D229" s="9">
        <v>39</v>
      </c>
      <c r="E229" s="10">
        <v>9</v>
      </c>
      <c r="F229" s="476">
        <f t="shared" si="138"/>
        <v>87320.16</v>
      </c>
      <c r="G229" s="476">
        <f t="shared" si="139"/>
        <v>3638.34</v>
      </c>
      <c r="H229">
        <f t="shared" si="153"/>
        <v>91350</v>
      </c>
      <c r="I229">
        <f t="shared" si="154"/>
        <v>3806.25</v>
      </c>
      <c r="L229" t="s">
        <v>271</v>
      </c>
      <c r="M229" s="143">
        <f t="shared" si="155"/>
        <v>41.82</v>
      </c>
      <c r="N229" s="476">
        <f t="shared" si="144"/>
        <v>0</v>
      </c>
      <c r="O229" s="142">
        <f t="shared" si="140"/>
        <v>41.82</v>
      </c>
      <c r="P229" s="476">
        <f t="shared" si="141"/>
        <v>87320.16</v>
      </c>
      <c r="Q229" s="476"/>
      <c r="R229" s="476">
        <f t="shared" si="151"/>
        <v>0</v>
      </c>
      <c r="S229" s="476">
        <f t="shared" si="142"/>
        <v>41.82</v>
      </c>
      <c r="T229" s="478">
        <f t="shared" si="156"/>
        <v>87320.16</v>
      </c>
      <c r="U229" t="s">
        <v>271</v>
      </c>
      <c r="V229" s="478">
        <f t="shared" si="157"/>
        <v>0</v>
      </c>
      <c r="W229" s="142">
        <f t="shared" si="143"/>
        <v>0</v>
      </c>
      <c r="X229" s="1076"/>
    </row>
    <row r="230" spans="1:24" x14ac:dyDescent="0.2">
      <c r="A230" t="s">
        <v>307</v>
      </c>
      <c r="B230" s="477">
        <f>P230</f>
        <v>91350</v>
      </c>
      <c r="C230" s="477">
        <f>B230/24</f>
        <v>3806.25</v>
      </c>
      <c r="D230" s="9">
        <v>39</v>
      </c>
      <c r="E230" s="10">
        <v>10</v>
      </c>
      <c r="F230" s="476">
        <f t="shared" si="138"/>
        <v>91350</v>
      </c>
      <c r="G230" s="476">
        <f t="shared" si="139"/>
        <v>3806.25</v>
      </c>
      <c r="H230">
        <f>F230</f>
        <v>91350</v>
      </c>
      <c r="I230">
        <f>G230</f>
        <v>3806.25</v>
      </c>
      <c r="L230" t="s">
        <v>307</v>
      </c>
      <c r="M230" s="612">
        <v>43.75</v>
      </c>
      <c r="N230" s="476">
        <f t="shared" si="144"/>
        <v>0</v>
      </c>
      <c r="O230" s="142">
        <f t="shared" si="140"/>
        <v>43.75</v>
      </c>
      <c r="P230" s="476">
        <f t="shared" si="141"/>
        <v>91350</v>
      </c>
      <c r="Q230" s="476"/>
      <c r="R230" s="476">
        <f t="shared" si="151"/>
        <v>0</v>
      </c>
      <c r="S230" s="476">
        <f t="shared" si="142"/>
        <v>43.75</v>
      </c>
      <c r="T230" s="477">
        <f>S230*$T$9</f>
        <v>91350</v>
      </c>
      <c r="U230" t="s">
        <v>307</v>
      </c>
      <c r="V230" s="142">
        <f>R230*2088</f>
        <v>0</v>
      </c>
      <c r="W230" s="142">
        <f t="shared" si="143"/>
        <v>0</v>
      </c>
      <c r="X230" s="1076"/>
    </row>
    <row r="231" spans="1:24" x14ac:dyDescent="0.2">
      <c r="A231" t="s">
        <v>220</v>
      </c>
      <c r="B231" s="476">
        <f t="shared" ref="B231:C239" si="158">B222</f>
        <v>63746.64</v>
      </c>
      <c r="C231" s="476">
        <f t="shared" si="158"/>
        <v>2656.11</v>
      </c>
      <c r="D231" s="9" t="s">
        <v>221</v>
      </c>
      <c r="E231" s="10" t="s">
        <v>23</v>
      </c>
      <c r="F231" s="476">
        <f t="shared" si="138"/>
        <v>63746.64</v>
      </c>
      <c r="G231" s="476">
        <f t="shared" si="139"/>
        <v>2656.11</v>
      </c>
      <c r="H231">
        <f t="shared" ref="H231:H239" si="159">F232</f>
        <v>66628.08</v>
      </c>
      <c r="I231">
        <f t="shared" ref="I231:I239" si="160">G232</f>
        <v>2776.17</v>
      </c>
      <c r="L231" t="s">
        <v>220</v>
      </c>
      <c r="M231" s="142">
        <f t="shared" ref="M231:M239" si="161">M222</f>
        <v>30.53</v>
      </c>
      <c r="N231" s="476">
        <f t="shared" si="144"/>
        <v>0</v>
      </c>
      <c r="O231" s="142">
        <f t="shared" si="140"/>
        <v>30.53</v>
      </c>
      <c r="P231" s="476">
        <f t="shared" si="141"/>
        <v>63746.64</v>
      </c>
      <c r="Q231" s="476"/>
      <c r="R231" s="476">
        <f t="shared" si="151"/>
        <v>0</v>
      </c>
      <c r="S231" s="476">
        <f t="shared" si="142"/>
        <v>30.53</v>
      </c>
      <c r="T231" s="476">
        <f t="shared" ref="T231:T239" si="162">T222</f>
        <v>63746.64</v>
      </c>
      <c r="U231" t="s">
        <v>220</v>
      </c>
      <c r="V231" s="476">
        <f t="shared" ref="V231:V239" si="163">V222</f>
        <v>0</v>
      </c>
      <c r="W231" s="142">
        <f t="shared" si="143"/>
        <v>0</v>
      </c>
      <c r="X231" s="1076"/>
    </row>
    <row r="232" spans="1:24" x14ac:dyDescent="0.2">
      <c r="A232" t="s">
        <v>222</v>
      </c>
      <c r="B232" s="476">
        <f t="shared" si="158"/>
        <v>66628.08</v>
      </c>
      <c r="C232" s="476">
        <f t="shared" si="158"/>
        <v>2776.17</v>
      </c>
      <c r="D232" s="9" t="s">
        <v>221</v>
      </c>
      <c r="E232" s="10">
        <v>2</v>
      </c>
      <c r="F232" s="476">
        <f t="shared" si="138"/>
        <v>66628.08</v>
      </c>
      <c r="G232" s="476">
        <f t="shared" si="139"/>
        <v>2776.17</v>
      </c>
      <c r="H232">
        <f t="shared" si="159"/>
        <v>69739.199999999997</v>
      </c>
      <c r="I232">
        <f t="shared" si="160"/>
        <v>2905.7999999999997</v>
      </c>
      <c r="L232" t="s">
        <v>222</v>
      </c>
      <c r="M232" s="142">
        <f t="shared" si="161"/>
        <v>31.91</v>
      </c>
      <c r="N232" s="476">
        <f t="shared" si="144"/>
        <v>0</v>
      </c>
      <c r="O232" s="142">
        <f t="shared" si="140"/>
        <v>31.91</v>
      </c>
      <c r="P232" s="476">
        <f t="shared" si="141"/>
        <v>66628.08</v>
      </c>
      <c r="Q232" s="476"/>
      <c r="R232" s="476">
        <f t="shared" si="151"/>
        <v>0</v>
      </c>
      <c r="S232" s="476">
        <f t="shared" si="142"/>
        <v>31.91</v>
      </c>
      <c r="T232" s="476">
        <f t="shared" si="162"/>
        <v>66628.08</v>
      </c>
      <c r="U232" t="s">
        <v>222</v>
      </c>
      <c r="V232" s="476">
        <f t="shared" si="163"/>
        <v>0</v>
      </c>
      <c r="W232" s="142">
        <f t="shared" si="143"/>
        <v>0</v>
      </c>
      <c r="X232" s="1076"/>
    </row>
    <row r="233" spans="1:24" x14ac:dyDescent="0.2">
      <c r="A233" t="s">
        <v>223</v>
      </c>
      <c r="B233" s="476">
        <f t="shared" si="158"/>
        <v>69739.199999999997</v>
      </c>
      <c r="C233" s="476">
        <f t="shared" si="158"/>
        <v>2905.7999999999997</v>
      </c>
      <c r="D233" s="9" t="s">
        <v>221</v>
      </c>
      <c r="E233" s="10">
        <v>3</v>
      </c>
      <c r="F233" s="476">
        <f t="shared" si="138"/>
        <v>69739.199999999997</v>
      </c>
      <c r="G233" s="476">
        <f t="shared" si="139"/>
        <v>2905.7999999999997</v>
      </c>
      <c r="H233">
        <f t="shared" si="159"/>
        <v>72871.199999999997</v>
      </c>
      <c r="I233">
        <f t="shared" si="160"/>
        <v>3036.2999999999997</v>
      </c>
      <c r="L233" t="s">
        <v>223</v>
      </c>
      <c r="M233" s="142">
        <f t="shared" si="161"/>
        <v>33.4</v>
      </c>
      <c r="N233" s="476">
        <f t="shared" si="144"/>
        <v>0</v>
      </c>
      <c r="O233" s="142">
        <f t="shared" si="140"/>
        <v>33.4</v>
      </c>
      <c r="P233" s="476">
        <f t="shared" si="141"/>
        <v>69739.199999999997</v>
      </c>
      <c r="Q233" s="476"/>
      <c r="R233" s="476">
        <f t="shared" si="151"/>
        <v>0</v>
      </c>
      <c r="S233" s="476">
        <f t="shared" si="142"/>
        <v>33.4</v>
      </c>
      <c r="T233" s="476">
        <f t="shared" si="162"/>
        <v>69739.199999999997</v>
      </c>
      <c r="U233" t="s">
        <v>223</v>
      </c>
      <c r="V233" s="476">
        <f t="shared" si="163"/>
        <v>0</v>
      </c>
      <c r="W233" s="142">
        <f t="shared" si="143"/>
        <v>0</v>
      </c>
      <c r="X233" s="1076"/>
    </row>
    <row r="234" spans="1:24" x14ac:dyDescent="0.2">
      <c r="A234" t="s">
        <v>224</v>
      </c>
      <c r="B234" s="476">
        <f t="shared" si="158"/>
        <v>72871.199999999997</v>
      </c>
      <c r="C234" s="476">
        <f t="shared" si="158"/>
        <v>3036.2999999999997</v>
      </c>
      <c r="D234" s="9" t="s">
        <v>221</v>
      </c>
      <c r="E234" s="10">
        <v>4</v>
      </c>
      <c r="F234" s="476">
        <f t="shared" si="138"/>
        <v>72871.199999999997</v>
      </c>
      <c r="G234" s="476">
        <f t="shared" si="139"/>
        <v>3036.2999999999997</v>
      </c>
      <c r="H234">
        <f t="shared" si="159"/>
        <v>76170.239999999991</v>
      </c>
      <c r="I234">
        <f t="shared" si="160"/>
        <v>3173.7599999999998</v>
      </c>
      <c r="L234" t="s">
        <v>224</v>
      </c>
      <c r="M234" s="142">
        <f t="shared" si="161"/>
        <v>34.9</v>
      </c>
      <c r="N234" s="476">
        <f t="shared" si="144"/>
        <v>0</v>
      </c>
      <c r="O234" s="142">
        <f t="shared" si="140"/>
        <v>34.9</v>
      </c>
      <c r="P234" s="476">
        <f t="shared" si="141"/>
        <v>72871.199999999997</v>
      </c>
      <c r="Q234" s="476"/>
      <c r="R234" s="476">
        <f t="shared" si="151"/>
        <v>0</v>
      </c>
      <c r="S234" s="476">
        <f t="shared" si="142"/>
        <v>34.9</v>
      </c>
      <c r="T234" s="476">
        <f t="shared" si="162"/>
        <v>72871.199999999997</v>
      </c>
      <c r="U234" t="s">
        <v>224</v>
      </c>
      <c r="V234" s="476">
        <f t="shared" si="163"/>
        <v>0</v>
      </c>
      <c r="W234" s="142">
        <f t="shared" si="143"/>
        <v>0</v>
      </c>
      <c r="X234" s="1076"/>
    </row>
    <row r="235" spans="1:24" x14ac:dyDescent="0.2">
      <c r="A235" t="s">
        <v>225</v>
      </c>
      <c r="B235" s="476">
        <f t="shared" si="158"/>
        <v>76170.239999999991</v>
      </c>
      <c r="C235" s="476">
        <f t="shared" si="158"/>
        <v>3173.7599999999998</v>
      </c>
      <c r="D235" s="9" t="s">
        <v>221</v>
      </c>
      <c r="E235" s="10">
        <v>5</v>
      </c>
      <c r="F235" s="476">
        <f t="shared" si="138"/>
        <v>76170.239999999991</v>
      </c>
      <c r="G235" s="476">
        <f t="shared" si="139"/>
        <v>3173.7599999999998</v>
      </c>
      <c r="H235">
        <f t="shared" si="159"/>
        <v>79719.839999999997</v>
      </c>
      <c r="I235">
        <f t="shared" si="160"/>
        <v>3321.66</v>
      </c>
      <c r="L235" t="s">
        <v>225</v>
      </c>
      <c r="M235" s="142">
        <f t="shared" si="161"/>
        <v>36.479999999999997</v>
      </c>
      <c r="N235" s="476">
        <f t="shared" si="144"/>
        <v>0</v>
      </c>
      <c r="O235" s="142">
        <f t="shared" si="140"/>
        <v>36.479999999999997</v>
      </c>
      <c r="P235" s="476">
        <f t="shared" si="141"/>
        <v>76170.239999999991</v>
      </c>
      <c r="Q235" s="476"/>
      <c r="R235" s="476">
        <f t="shared" si="151"/>
        <v>0</v>
      </c>
      <c r="S235" s="476">
        <f t="shared" si="142"/>
        <v>36.479999999999997</v>
      </c>
      <c r="T235" s="476">
        <f t="shared" si="162"/>
        <v>76170.239999999991</v>
      </c>
      <c r="U235" t="s">
        <v>225</v>
      </c>
      <c r="V235" s="476">
        <f t="shared" si="163"/>
        <v>0</v>
      </c>
      <c r="W235" s="142">
        <f t="shared" si="143"/>
        <v>0</v>
      </c>
      <c r="X235" s="1076"/>
    </row>
    <row r="236" spans="1:24" x14ac:dyDescent="0.2">
      <c r="A236" t="s">
        <v>226</v>
      </c>
      <c r="B236" s="476">
        <f t="shared" si="158"/>
        <v>79719.839999999997</v>
      </c>
      <c r="C236" s="476">
        <f t="shared" si="158"/>
        <v>3321.66</v>
      </c>
      <c r="D236" s="9" t="s">
        <v>221</v>
      </c>
      <c r="E236" s="10">
        <v>6</v>
      </c>
      <c r="F236" s="476">
        <f t="shared" si="138"/>
        <v>79719.839999999997</v>
      </c>
      <c r="G236" s="476">
        <f t="shared" si="139"/>
        <v>3321.66</v>
      </c>
      <c r="H236">
        <f t="shared" si="159"/>
        <v>83394.720000000001</v>
      </c>
      <c r="I236">
        <f t="shared" si="160"/>
        <v>3474.78</v>
      </c>
      <c r="L236" t="s">
        <v>226</v>
      </c>
      <c r="M236" s="142">
        <f t="shared" si="161"/>
        <v>38.18</v>
      </c>
      <c r="N236" s="476">
        <f t="shared" si="144"/>
        <v>0</v>
      </c>
      <c r="O236" s="142">
        <f t="shared" si="140"/>
        <v>38.18</v>
      </c>
      <c r="P236" s="476">
        <f t="shared" si="141"/>
        <v>79719.839999999997</v>
      </c>
      <c r="Q236" s="476"/>
      <c r="R236" s="476">
        <f t="shared" si="151"/>
        <v>0</v>
      </c>
      <c r="S236" s="476">
        <f t="shared" si="142"/>
        <v>38.18</v>
      </c>
      <c r="T236" s="476">
        <f t="shared" si="162"/>
        <v>79740.72</v>
      </c>
      <c r="U236" t="s">
        <v>226</v>
      </c>
      <c r="V236" s="476">
        <f t="shared" si="163"/>
        <v>20.88</v>
      </c>
      <c r="W236" s="142">
        <f t="shared" si="143"/>
        <v>20.880000000004657</v>
      </c>
      <c r="X236" s="1076"/>
    </row>
    <row r="237" spans="1:24" x14ac:dyDescent="0.2">
      <c r="A237" t="s">
        <v>227</v>
      </c>
      <c r="B237" s="476">
        <f t="shared" si="158"/>
        <v>83394.720000000001</v>
      </c>
      <c r="C237" s="476">
        <f t="shared" si="158"/>
        <v>3474.78</v>
      </c>
      <c r="D237" s="9" t="s">
        <v>221</v>
      </c>
      <c r="E237" s="10">
        <v>7</v>
      </c>
      <c r="F237" s="476">
        <f t="shared" si="138"/>
        <v>83394.720000000001</v>
      </c>
      <c r="G237" s="476">
        <f t="shared" si="139"/>
        <v>3474.78</v>
      </c>
      <c r="H237">
        <f t="shared" si="159"/>
        <v>87320.16</v>
      </c>
      <c r="I237">
        <f t="shared" si="160"/>
        <v>3638.34</v>
      </c>
      <c r="L237" t="s">
        <v>227</v>
      </c>
      <c r="M237" s="142">
        <f t="shared" si="161"/>
        <v>39.94</v>
      </c>
      <c r="N237" s="476">
        <f t="shared" si="144"/>
        <v>0</v>
      </c>
      <c r="O237" s="142">
        <f t="shared" si="140"/>
        <v>39.94</v>
      </c>
      <c r="P237" s="476">
        <f t="shared" si="141"/>
        <v>83394.720000000001</v>
      </c>
      <c r="Q237" s="476"/>
      <c r="R237" s="476">
        <f t="shared" si="151"/>
        <v>0</v>
      </c>
      <c r="S237" s="476">
        <f t="shared" si="142"/>
        <v>39.94</v>
      </c>
      <c r="T237" s="476">
        <f t="shared" si="162"/>
        <v>83394.720000000001</v>
      </c>
      <c r="U237" t="s">
        <v>227</v>
      </c>
      <c r="V237" s="476">
        <f t="shared" si="163"/>
        <v>0</v>
      </c>
      <c r="W237" s="142">
        <f t="shared" si="143"/>
        <v>0</v>
      </c>
      <c r="X237" s="1076"/>
    </row>
    <row r="238" spans="1:24" x14ac:dyDescent="0.2">
      <c r="A238" t="s">
        <v>228</v>
      </c>
      <c r="B238" s="476">
        <f t="shared" si="158"/>
        <v>87320.16</v>
      </c>
      <c r="C238" s="476">
        <f t="shared" si="158"/>
        <v>3638.34</v>
      </c>
      <c r="D238" s="9" t="s">
        <v>221</v>
      </c>
      <c r="E238" s="10">
        <v>8</v>
      </c>
      <c r="F238" s="476">
        <f t="shared" si="138"/>
        <v>87320.16</v>
      </c>
      <c r="G238" s="476">
        <f t="shared" si="139"/>
        <v>3638.34</v>
      </c>
      <c r="H238">
        <f t="shared" si="159"/>
        <v>91350</v>
      </c>
      <c r="I238">
        <f t="shared" si="160"/>
        <v>3806.25</v>
      </c>
      <c r="L238" t="s">
        <v>228</v>
      </c>
      <c r="M238" s="142">
        <f t="shared" si="161"/>
        <v>41.82</v>
      </c>
      <c r="N238" s="476">
        <f t="shared" si="144"/>
        <v>0</v>
      </c>
      <c r="O238" s="142">
        <f t="shared" si="140"/>
        <v>41.82</v>
      </c>
      <c r="P238" s="476">
        <f t="shared" si="141"/>
        <v>87320.16</v>
      </c>
      <c r="Q238" s="476"/>
      <c r="R238" s="476">
        <f t="shared" si="151"/>
        <v>0</v>
      </c>
      <c r="S238" s="476">
        <f t="shared" si="142"/>
        <v>41.82</v>
      </c>
      <c r="T238" s="476">
        <f t="shared" si="162"/>
        <v>87320.16</v>
      </c>
      <c r="U238" t="s">
        <v>228</v>
      </c>
      <c r="V238" s="476">
        <f t="shared" si="163"/>
        <v>0</v>
      </c>
      <c r="W238" s="142">
        <f t="shared" si="143"/>
        <v>0</v>
      </c>
      <c r="X238" s="1076"/>
    </row>
    <row r="239" spans="1:24" x14ac:dyDescent="0.2">
      <c r="A239" t="s">
        <v>272</v>
      </c>
      <c r="B239" s="478">
        <f t="shared" si="158"/>
        <v>91350</v>
      </c>
      <c r="C239" s="478">
        <f t="shared" si="158"/>
        <v>3806.25</v>
      </c>
      <c r="D239" s="9">
        <v>40</v>
      </c>
      <c r="E239" s="10">
        <v>9</v>
      </c>
      <c r="F239" s="476">
        <f t="shared" si="138"/>
        <v>91350</v>
      </c>
      <c r="G239" s="476">
        <f t="shared" si="139"/>
        <v>3806.25</v>
      </c>
      <c r="H239">
        <f t="shared" si="159"/>
        <v>95672.16</v>
      </c>
      <c r="I239">
        <f t="shared" si="160"/>
        <v>3986.34</v>
      </c>
      <c r="L239" t="s">
        <v>272</v>
      </c>
      <c r="M239" s="143">
        <f t="shared" si="161"/>
        <v>43.75</v>
      </c>
      <c r="N239" s="476">
        <f t="shared" si="144"/>
        <v>0</v>
      </c>
      <c r="O239" s="142">
        <f t="shared" si="140"/>
        <v>43.75</v>
      </c>
      <c r="P239" s="476">
        <f t="shared" si="141"/>
        <v>91350</v>
      </c>
      <c r="Q239" s="476"/>
      <c r="R239" s="476">
        <f t="shared" si="151"/>
        <v>0</v>
      </c>
      <c r="S239" s="476">
        <f t="shared" si="142"/>
        <v>43.75</v>
      </c>
      <c r="T239" s="478">
        <f t="shared" si="162"/>
        <v>91350</v>
      </c>
      <c r="U239" t="s">
        <v>272</v>
      </c>
      <c r="V239" s="478">
        <f t="shared" si="163"/>
        <v>0</v>
      </c>
      <c r="W239" s="142">
        <f t="shared" si="143"/>
        <v>0</v>
      </c>
      <c r="X239" s="1076"/>
    </row>
    <row r="240" spans="1:24" x14ac:dyDescent="0.2">
      <c r="A240" t="s">
        <v>308</v>
      </c>
      <c r="B240" s="477">
        <f>P240</f>
        <v>95672.16</v>
      </c>
      <c r="C240" s="477">
        <f>B240/24</f>
        <v>3986.34</v>
      </c>
      <c r="D240" s="9">
        <v>40</v>
      </c>
      <c r="E240" s="10">
        <v>10</v>
      </c>
      <c r="F240" s="476">
        <f t="shared" si="138"/>
        <v>95672.16</v>
      </c>
      <c r="G240" s="476">
        <f t="shared" si="139"/>
        <v>3986.34</v>
      </c>
      <c r="H240">
        <f>F240</f>
        <v>95672.16</v>
      </c>
      <c r="I240">
        <f>G240</f>
        <v>3986.34</v>
      </c>
      <c r="L240" t="s">
        <v>308</v>
      </c>
      <c r="M240" s="612">
        <v>45.82</v>
      </c>
      <c r="N240" s="476">
        <f t="shared" si="144"/>
        <v>0</v>
      </c>
      <c r="O240" s="142">
        <f t="shared" si="140"/>
        <v>45.82</v>
      </c>
      <c r="P240" s="476">
        <f t="shared" si="141"/>
        <v>95672.16</v>
      </c>
      <c r="Q240" s="476"/>
      <c r="R240" s="476">
        <f t="shared" si="151"/>
        <v>0</v>
      </c>
      <c r="S240" s="476">
        <f t="shared" si="142"/>
        <v>45.82</v>
      </c>
      <c r="T240" s="477">
        <f>S240*$T$9</f>
        <v>95672.16</v>
      </c>
      <c r="U240" t="s">
        <v>308</v>
      </c>
      <c r="V240" s="142">
        <f>R240*2088</f>
        <v>0</v>
      </c>
      <c r="W240" s="142">
        <f t="shared" si="143"/>
        <v>0</v>
      </c>
      <c r="X240" s="1076"/>
    </row>
    <row r="241" spans="1:24" x14ac:dyDescent="0.2">
      <c r="A241" t="s">
        <v>309</v>
      </c>
      <c r="B241" s="478">
        <f t="shared" ref="B241:C249" si="164">B232</f>
        <v>66628.08</v>
      </c>
      <c r="C241" s="478">
        <f t="shared" si="164"/>
        <v>2776.17</v>
      </c>
      <c r="D241" s="9">
        <v>41</v>
      </c>
      <c r="E241" s="10" t="s">
        <v>23</v>
      </c>
      <c r="F241" s="476">
        <f t="shared" si="138"/>
        <v>66628.08</v>
      </c>
      <c r="G241" s="476">
        <f t="shared" si="139"/>
        <v>2776.17</v>
      </c>
      <c r="H241">
        <f t="shared" ref="H241:H249" si="165">F242</f>
        <v>69739.199999999997</v>
      </c>
      <c r="I241">
        <f t="shared" ref="I241:I249" si="166">G242</f>
        <v>2905.7999999999997</v>
      </c>
      <c r="L241" t="s">
        <v>309</v>
      </c>
      <c r="M241" s="143">
        <f t="shared" ref="M241:M249" si="167">M232</f>
        <v>31.91</v>
      </c>
      <c r="N241" s="476">
        <f t="shared" si="144"/>
        <v>0</v>
      </c>
      <c r="O241" s="142">
        <f t="shared" si="140"/>
        <v>31.91</v>
      </c>
      <c r="P241" s="476">
        <f t="shared" si="141"/>
        <v>66628.08</v>
      </c>
      <c r="Q241" s="476"/>
      <c r="R241" s="476">
        <f t="shared" si="151"/>
        <v>0</v>
      </c>
      <c r="S241" s="476">
        <f t="shared" si="142"/>
        <v>31.91</v>
      </c>
      <c r="T241" s="478">
        <f t="shared" ref="T241:T249" si="168">T232</f>
        <v>66628.08</v>
      </c>
      <c r="U241" t="s">
        <v>309</v>
      </c>
      <c r="V241" s="478">
        <f t="shared" ref="V241:V249" si="169">V232</f>
        <v>0</v>
      </c>
      <c r="W241" s="142">
        <f t="shared" si="143"/>
        <v>0</v>
      </c>
      <c r="X241" s="1076"/>
    </row>
    <row r="242" spans="1:24" x14ac:dyDescent="0.2">
      <c r="A242" t="s">
        <v>310</v>
      </c>
      <c r="B242" s="478">
        <f t="shared" si="164"/>
        <v>69739.199999999997</v>
      </c>
      <c r="C242" s="478">
        <f t="shared" si="164"/>
        <v>2905.7999999999997</v>
      </c>
      <c r="D242" s="9">
        <v>41</v>
      </c>
      <c r="E242" s="10">
        <v>2</v>
      </c>
      <c r="F242" s="476">
        <f t="shared" si="138"/>
        <v>69739.199999999997</v>
      </c>
      <c r="G242" s="476">
        <f t="shared" si="139"/>
        <v>2905.7999999999997</v>
      </c>
      <c r="H242">
        <f t="shared" si="165"/>
        <v>72871.199999999997</v>
      </c>
      <c r="I242">
        <f t="shared" si="166"/>
        <v>3036.2999999999997</v>
      </c>
      <c r="L242" t="s">
        <v>310</v>
      </c>
      <c r="M242" s="143">
        <f t="shared" si="167"/>
        <v>33.4</v>
      </c>
      <c r="N242" s="476">
        <f t="shared" si="144"/>
        <v>0</v>
      </c>
      <c r="O242" s="142">
        <f t="shared" si="140"/>
        <v>33.4</v>
      </c>
      <c r="P242" s="476">
        <f t="shared" si="141"/>
        <v>69739.199999999997</v>
      </c>
      <c r="Q242" s="476"/>
      <c r="R242" s="476">
        <f t="shared" si="151"/>
        <v>0</v>
      </c>
      <c r="S242" s="476">
        <f t="shared" si="142"/>
        <v>33.4</v>
      </c>
      <c r="T242" s="478">
        <f t="shared" si="168"/>
        <v>69739.199999999997</v>
      </c>
      <c r="U242" t="s">
        <v>310</v>
      </c>
      <c r="V242" s="478">
        <f t="shared" si="169"/>
        <v>0</v>
      </c>
      <c r="W242" s="142">
        <f t="shared" si="143"/>
        <v>0</v>
      </c>
      <c r="X242" s="1076"/>
    </row>
    <row r="243" spans="1:24" x14ac:dyDescent="0.2">
      <c r="A243" t="s">
        <v>311</v>
      </c>
      <c r="B243" s="478">
        <f t="shared" si="164"/>
        <v>72871.199999999997</v>
      </c>
      <c r="C243" s="478">
        <f t="shared" si="164"/>
        <v>3036.2999999999997</v>
      </c>
      <c r="D243" s="9">
        <v>41</v>
      </c>
      <c r="E243" s="10">
        <v>3</v>
      </c>
      <c r="F243" s="476">
        <f t="shared" si="138"/>
        <v>72871.199999999997</v>
      </c>
      <c r="G243" s="476">
        <f t="shared" si="139"/>
        <v>3036.2999999999997</v>
      </c>
      <c r="H243">
        <f t="shared" si="165"/>
        <v>76170.239999999991</v>
      </c>
      <c r="I243">
        <f t="shared" si="166"/>
        <v>3173.7599999999998</v>
      </c>
      <c r="L243" t="s">
        <v>311</v>
      </c>
      <c r="M243" s="143">
        <f t="shared" si="167"/>
        <v>34.9</v>
      </c>
      <c r="N243" s="476">
        <f t="shared" si="144"/>
        <v>0</v>
      </c>
      <c r="O243" s="142">
        <f t="shared" si="140"/>
        <v>34.9</v>
      </c>
      <c r="P243" s="476">
        <f t="shared" si="141"/>
        <v>72871.199999999997</v>
      </c>
      <c r="Q243" s="476"/>
      <c r="R243" s="476">
        <f t="shared" si="151"/>
        <v>0</v>
      </c>
      <c r="S243" s="476">
        <f t="shared" si="142"/>
        <v>34.9</v>
      </c>
      <c r="T243" s="478">
        <f t="shared" si="168"/>
        <v>72871.199999999997</v>
      </c>
      <c r="U243" t="s">
        <v>311</v>
      </c>
      <c r="V243" s="478">
        <f t="shared" si="169"/>
        <v>0</v>
      </c>
      <c r="W243" s="142">
        <f t="shared" si="143"/>
        <v>0</v>
      </c>
      <c r="X243" s="1076"/>
    </row>
    <row r="244" spans="1:24" x14ac:dyDescent="0.2">
      <c r="A244" t="s">
        <v>312</v>
      </c>
      <c r="B244" s="478">
        <f t="shared" si="164"/>
        <v>76170.239999999991</v>
      </c>
      <c r="C244" s="478">
        <f t="shared" si="164"/>
        <v>3173.7599999999998</v>
      </c>
      <c r="D244" s="9">
        <v>41</v>
      </c>
      <c r="E244" s="10">
        <v>4</v>
      </c>
      <c r="F244" s="476">
        <f t="shared" si="138"/>
        <v>76170.239999999991</v>
      </c>
      <c r="G244" s="476">
        <f t="shared" si="139"/>
        <v>3173.7599999999998</v>
      </c>
      <c r="H244">
        <f t="shared" si="165"/>
        <v>79719.839999999997</v>
      </c>
      <c r="I244">
        <f t="shared" si="166"/>
        <v>3321.66</v>
      </c>
      <c r="L244" t="s">
        <v>312</v>
      </c>
      <c r="M244" s="143">
        <f t="shared" si="167"/>
        <v>36.479999999999997</v>
      </c>
      <c r="N244" s="476">
        <f t="shared" si="144"/>
        <v>0</v>
      </c>
      <c r="O244" s="142">
        <f t="shared" si="140"/>
        <v>36.479999999999997</v>
      </c>
      <c r="P244" s="476">
        <f t="shared" si="141"/>
        <v>76170.239999999991</v>
      </c>
      <c r="Q244" s="476"/>
      <c r="R244" s="476">
        <f t="shared" si="151"/>
        <v>0</v>
      </c>
      <c r="S244" s="476">
        <f t="shared" si="142"/>
        <v>36.479999999999997</v>
      </c>
      <c r="T244" s="478">
        <f t="shared" si="168"/>
        <v>76170.239999999991</v>
      </c>
      <c r="U244" t="s">
        <v>312</v>
      </c>
      <c r="V244" s="478">
        <f t="shared" si="169"/>
        <v>0</v>
      </c>
      <c r="W244" s="142">
        <f t="shared" si="143"/>
        <v>0</v>
      </c>
      <c r="X244" s="1076"/>
    </row>
    <row r="245" spans="1:24" x14ac:dyDescent="0.2">
      <c r="A245" t="s">
        <v>313</v>
      </c>
      <c r="B245" s="478">
        <f t="shared" si="164"/>
        <v>79719.839999999997</v>
      </c>
      <c r="C245" s="478">
        <f t="shared" si="164"/>
        <v>3321.66</v>
      </c>
      <c r="D245" s="9">
        <v>41</v>
      </c>
      <c r="E245" s="10">
        <v>5</v>
      </c>
      <c r="F245" s="476">
        <f t="shared" si="138"/>
        <v>79719.839999999997</v>
      </c>
      <c r="G245" s="476">
        <f t="shared" si="139"/>
        <v>3321.66</v>
      </c>
      <c r="H245">
        <f t="shared" si="165"/>
        <v>83394.720000000001</v>
      </c>
      <c r="I245">
        <f t="shared" si="166"/>
        <v>3474.78</v>
      </c>
      <c r="L245" t="s">
        <v>313</v>
      </c>
      <c r="M245" s="143">
        <f t="shared" si="167"/>
        <v>38.18</v>
      </c>
      <c r="N245" s="476">
        <f t="shared" si="144"/>
        <v>0</v>
      </c>
      <c r="O245" s="142">
        <f t="shared" si="140"/>
        <v>38.18</v>
      </c>
      <c r="P245" s="476">
        <f t="shared" si="141"/>
        <v>79719.839999999997</v>
      </c>
      <c r="Q245" s="476"/>
      <c r="R245" s="476">
        <f t="shared" si="151"/>
        <v>0</v>
      </c>
      <c r="S245" s="476">
        <f t="shared" si="142"/>
        <v>38.18</v>
      </c>
      <c r="T245" s="478">
        <f t="shared" si="168"/>
        <v>79740.72</v>
      </c>
      <c r="U245" t="s">
        <v>313</v>
      </c>
      <c r="V245" s="478">
        <f t="shared" si="169"/>
        <v>20.88</v>
      </c>
      <c r="W245" s="142">
        <f t="shared" si="143"/>
        <v>20.880000000004657</v>
      </c>
      <c r="X245" s="1076"/>
    </row>
    <row r="246" spans="1:24" x14ac:dyDescent="0.2">
      <c r="A246" t="s">
        <v>314</v>
      </c>
      <c r="B246" s="478">
        <f t="shared" si="164"/>
        <v>83394.720000000001</v>
      </c>
      <c r="C246" s="478">
        <f t="shared" si="164"/>
        <v>3474.78</v>
      </c>
      <c r="D246" s="9">
        <v>41</v>
      </c>
      <c r="E246" s="10">
        <v>6</v>
      </c>
      <c r="F246" s="476">
        <f t="shared" si="138"/>
        <v>83394.720000000001</v>
      </c>
      <c r="G246" s="476">
        <f t="shared" si="139"/>
        <v>3474.78</v>
      </c>
      <c r="H246">
        <f t="shared" si="165"/>
        <v>87320.16</v>
      </c>
      <c r="I246">
        <f t="shared" si="166"/>
        <v>3638.34</v>
      </c>
      <c r="L246" t="s">
        <v>314</v>
      </c>
      <c r="M246" s="143">
        <f t="shared" si="167"/>
        <v>39.94</v>
      </c>
      <c r="N246" s="476">
        <f t="shared" si="144"/>
        <v>0</v>
      </c>
      <c r="O246" s="142">
        <f t="shared" si="140"/>
        <v>39.94</v>
      </c>
      <c r="P246" s="476">
        <f t="shared" si="141"/>
        <v>83394.720000000001</v>
      </c>
      <c r="Q246" s="476"/>
      <c r="R246" s="476">
        <f t="shared" si="151"/>
        <v>0</v>
      </c>
      <c r="S246" s="476">
        <f t="shared" si="142"/>
        <v>39.94</v>
      </c>
      <c r="T246" s="478">
        <f t="shared" si="168"/>
        <v>83394.720000000001</v>
      </c>
      <c r="U246" t="s">
        <v>314</v>
      </c>
      <c r="V246" s="478">
        <f t="shared" si="169"/>
        <v>0</v>
      </c>
      <c r="W246" s="142">
        <f t="shared" si="143"/>
        <v>0</v>
      </c>
      <c r="X246" s="1076"/>
    </row>
    <row r="247" spans="1:24" x14ac:dyDescent="0.2">
      <c r="A247" t="s">
        <v>315</v>
      </c>
      <c r="B247" s="478">
        <f t="shared" si="164"/>
        <v>87320.16</v>
      </c>
      <c r="C247" s="478">
        <f t="shared" si="164"/>
        <v>3638.34</v>
      </c>
      <c r="D247" s="9">
        <v>41</v>
      </c>
      <c r="E247" s="10">
        <v>7</v>
      </c>
      <c r="F247" s="476">
        <f t="shared" si="138"/>
        <v>87320.16</v>
      </c>
      <c r="G247" s="476">
        <f t="shared" si="139"/>
        <v>3638.34</v>
      </c>
      <c r="H247">
        <f t="shared" si="165"/>
        <v>91350</v>
      </c>
      <c r="I247">
        <f t="shared" si="166"/>
        <v>3806.25</v>
      </c>
      <c r="L247" t="s">
        <v>315</v>
      </c>
      <c r="M247" s="143">
        <f t="shared" si="167"/>
        <v>41.82</v>
      </c>
      <c r="N247" s="476">
        <f t="shared" si="144"/>
        <v>0</v>
      </c>
      <c r="O247" s="142">
        <f t="shared" si="140"/>
        <v>41.82</v>
      </c>
      <c r="P247" s="476">
        <f t="shared" si="141"/>
        <v>87320.16</v>
      </c>
      <c r="Q247" s="476"/>
      <c r="R247" s="476">
        <f t="shared" si="151"/>
        <v>0</v>
      </c>
      <c r="S247" s="476">
        <f t="shared" si="142"/>
        <v>41.82</v>
      </c>
      <c r="T247" s="478">
        <f t="shared" si="168"/>
        <v>87320.16</v>
      </c>
      <c r="U247" t="s">
        <v>315</v>
      </c>
      <c r="V247" s="478">
        <f t="shared" si="169"/>
        <v>0</v>
      </c>
      <c r="W247" s="142">
        <f t="shared" si="143"/>
        <v>0</v>
      </c>
      <c r="X247" s="1076"/>
    </row>
    <row r="248" spans="1:24" x14ac:dyDescent="0.2">
      <c r="A248" t="s">
        <v>316</v>
      </c>
      <c r="B248" s="478">
        <f t="shared" si="164"/>
        <v>91350</v>
      </c>
      <c r="C248" s="478">
        <f t="shared" si="164"/>
        <v>3806.25</v>
      </c>
      <c r="D248" s="9">
        <v>41</v>
      </c>
      <c r="E248" s="10">
        <v>8</v>
      </c>
      <c r="F248" s="476">
        <f t="shared" si="138"/>
        <v>91350</v>
      </c>
      <c r="G248" s="476">
        <f t="shared" si="139"/>
        <v>3806.25</v>
      </c>
      <c r="H248">
        <f t="shared" si="165"/>
        <v>95672.16</v>
      </c>
      <c r="I248">
        <f t="shared" si="166"/>
        <v>3986.34</v>
      </c>
      <c r="L248" t="s">
        <v>316</v>
      </c>
      <c r="M248" s="143">
        <f t="shared" si="167"/>
        <v>43.75</v>
      </c>
      <c r="N248" s="476">
        <f t="shared" si="144"/>
        <v>0</v>
      </c>
      <c r="O248" s="142">
        <f t="shared" si="140"/>
        <v>43.75</v>
      </c>
      <c r="P248" s="476">
        <f t="shared" si="141"/>
        <v>91350</v>
      </c>
      <c r="Q248" s="476"/>
      <c r="R248" s="476">
        <f t="shared" si="151"/>
        <v>0</v>
      </c>
      <c r="S248" s="476">
        <f t="shared" si="142"/>
        <v>43.75</v>
      </c>
      <c r="T248" s="478">
        <f t="shared" si="168"/>
        <v>91350</v>
      </c>
      <c r="U248" t="s">
        <v>316</v>
      </c>
      <c r="V248" s="478">
        <f t="shared" si="169"/>
        <v>0</v>
      </c>
      <c r="W248" s="142">
        <f t="shared" si="143"/>
        <v>0</v>
      </c>
      <c r="X248" s="1076"/>
    </row>
    <row r="249" spans="1:24" x14ac:dyDescent="0.2">
      <c r="A249" t="s">
        <v>317</v>
      </c>
      <c r="B249" s="478">
        <f t="shared" si="164"/>
        <v>95672.16</v>
      </c>
      <c r="C249" s="478">
        <f t="shared" si="164"/>
        <v>3986.34</v>
      </c>
      <c r="D249" s="9">
        <v>41</v>
      </c>
      <c r="E249" s="10">
        <v>9</v>
      </c>
      <c r="F249" s="476">
        <f t="shared" si="138"/>
        <v>95672.16</v>
      </c>
      <c r="G249" s="476">
        <f t="shared" si="139"/>
        <v>3986.34</v>
      </c>
      <c r="H249">
        <f t="shared" si="165"/>
        <v>100161.36</v>
      </c>
      <c r="I249">
        <f t="shared" si="166"/>
        <v>4173.3900000000003</v>
      </c>
      <c r="L249" t="s">
        <v>317</v>
      </c>
      <c r="M249" s="143">
        <f t="shared" si="167"/>
        <v>45.82</v>
      </c>
      <c r="N249" s="476">
        <f t="shared" si="144"/>
        <v>0</v>
      </c>
      <c r="O249" s="142">
        <f t="shared" si="140"/>
        <v>45.82</v>
      </c>
      <c r="P249" s="476">
        <f t="shared" si="141"/>
        <v>95672.16</v>
      </c>
      <c r="Q249" s="476"/>
      <c r="R249" s="476">
        <f t="shared" si="151"/>
        <v>0</v>
      </c>
      <c r="S249" s="476">
        <f t="shared" si="142"/>
        <v>45.82</v>
      </c>
      <c r="T249" s="478">
        <f t="shared" si="168"/>
        <v>95672.16</v>
      </c>
      <c r="U249" t="s">
        <v>317</v>
      </c>
      <c r="V249" s="478">
        <f t="shared" si="169"/>
        <v>0</v>
      </c>
      <c r="W249" s="142">
        <f t="shared" si="143"/>
        <v>0</v>
      </c>
      <c r="X249" s="1076"/>
    </row>
    <row r="250" spans="1:24" x14ac:dyDescent="0.2">
      <c r="A250" t="s">
        <v>318</v>
      </c>
      <c r="B250" s="477">
        <f>P250</f>
        <v>100161.36</v>
      </c>
      <c r="C250" s="477">
        <f>B250/24</f>
        <v>4173.3900000000003</v>
      </c>
      <c r="D250" s="9">
        <v>41</v>
      </c>
      <c r="E250" s="10">
        <v>10</v>
      </c>
      <c r="F250" s="476">
        <f t="shared" si="138"/>
        <v>100161.36</v>
      </c>
      <c r="G250" s="476">
        <f t="shared" si="139"/>
        <v>4173.3900000000003</v>
      </c>
      <c r="H250">
        <f>F250</f>
        <v>100161.36</v>
      </c>
      <c r="I250">
        <f>G250</f>
        <v>4173.3900000000003</v>
      </c>
      <c r="L250" t="s">
        <v>318</v>
      </c>
      <c r="M250" s="612">
        <v>47.97</v>
      </c>
      <c r="N250" s="476">
        <f t="shared" si="144"/>
        <v>0</v>
      </c>
      <c r="O250" s="142">
        <f t="shared" si="140"/>
        <v>47.97</v>
      </c>
      <c r="P250" s="476">
        <f t="shared" si="141"/>
        <v>100161.36</v>
      </c>
      <c r="Q250" s="476"/>
      <c r="R250" s="476">
        <f t="shared" si="151"/>
        <v>0</v>
      </c>
      <c r="S250" s="476">
        <f t="shared" si="142"/>
        <v>47.97</v>
      </c>
      <c r="T250" s="471">
        <f>S250*$T$9+20.88</f>
        <v>100182.24</v>
      </c>
      <c r="U250" t="s">
        <v>318</v>
      </c>
      <c r="V250" s="470">
        <f>(+R250*2088)+20.88</f>
        <v>20.88</v>
      </c>
      <c r="W250" s="142">
        <f t="shared" si="143"/>
        <v>20.880000000004657</v>
      </c>
      <c r="X250" s="1076"/>
    </row>
    <row r="251" spans="1:24" x14ac:dyDescent="0.2">
      <c r="A251" t="s">
        <v>319</v>
      </c>
      <c r="B251" s="478">
        <f t="shared" ref="B251:C259" si="170">B242</f>
        <v>69739.199999999997</v>
      </c>
      <c r="C251" s="478">
        <f t="shared" si="170"/>
        <v>2905.7999999999997</v>
      </c>
      <c r="D251" s="9">
        <v>42</v>
      </c>
      <c r="E251" s="10" t="s">
        <v>23</v>
      </c>
      <c r="F251" s="476">
        <f t="shared" si="138"/>
        <v>69739.199999999997</v>
      </c>
      <c r="G251" s="476">
        <f t="shared" si="139"/>
        <v>2905.7999999999997</v>
      </c>
      <c r="H251">
        <f t="shared" ref="H251:H259" si="171">F252</f>
        <v>72871.199999999997</v>
      </c>
      <c r="I251">
        <f t="shared" ref="I251:I259" si="172">G252</f>
        <v>3036.2999999999997</v>
      </c>
      <c r="L251" t="s">
        <v>319</v>
      </c>
      <c r="M251" s="143">
        <f t="shared" ref="M251:M259" si="173">M242</f>
        <v>33.4</v>
      </c>
      <c r="N251" s="476">
        <f t="shared" si="144"/>
        <v>0</v>
      </c>
      <c r="O251" s="142">
        <f t="shared" si="140"/>
        <v>33.4</v>
      </c>
      <c r="P251" s="476">
        <f t="shared" si="141"/>
        <v>69739.199999999997</v>
      </c>
      <c r="Q251" s="476"/>
      <c r="R251" s="476">
        <f t="shared" si="151"/>
        <v>0</v>
      </c>
      <c r="S251" s="476">
        <f t="shared" si="142"/>
        <v>33.4</v>
      </c>
      <c r="T251" s="478">
        <f t="shared" ref="T251:T259" si="174">T242</f>
        <v>69739.199999999997</v>
      </c>
      <c r="U251" t="s">
        <v>319</v>
      </c>
      <c r="V251" s="478">
        <f t="shared" ref="V251:V259" si="175">V242</f>
        <v>0</v>
      </c>
      <c r="W251" s="142">
        <f t="shared" si="143"/>
        <v>0</v>
      </c>
      <c r="X251" s="1076"/>
    </row>
    <row r="252" spans="1:24" x14ac:dyDescent="0.2">
      <c r="A252" t="s">
        <v>320</v>
      </c>
      <c r="B252" s="478">
        <f t="shared" si="170"/>
        <v>72871.199999999997</v>
      </c>
      <c r="C252" s="478">
        <f t="shared" si="170"/>
        <v>3036.2999999999997</v>
      </c>
      <c r="D252" s="9">
        <v>42</v>
      </c>
      <c r="E252" s="10">
        <v>2</v>
      </c>
      <c r="F252" s="476">
        <f t="shared" si="138"/>
        <v>72871.199999999997</v>
      </c>
      <c r="G252" s="476">
        <f t="shared" si="139"/>
        <v>3036.2999999999997</v>
      </c>
      <c r="H252">
        <f t="shared" si="171"/>
        <v>76170.239999999991</v>
      </c>
      <c r="I252">
        <f t="shared" si="172"/>
        <v>3173.7599999999998</v>
      </c>
      <c r="L252" t="s">
        <v>320</v>
      </c>
      <c r="M252" s="143">
        <f t="shared" si="173"/>
        <v>34.9</v>
      </c>
      <c r="N252" s="476">
        <f t="shared" si="144"/>
        <v>0</v>
      </c>
      <c r="O252" s="142">
        <f t="shared" si="140"/>
        <v>34.9</v>
      </c>
      <c r="P252" s="476">
        <f t="shared" si="141"/>
        <v>72871.199999999997</v>
      </c>
      <c r="Q252" s="476"/>
      <c r="R252" s="476">
        <f t="shared" si="151"/>
        <v>0</v>
      </c>
      <c r="S252" s="476">
        <f t="shared" si="142"/>
        <v>34.9</v>
      </c>
      <c r="T252" s="478">
        <f t="shared" si="174"/>
        <v>72871.199999999997</v>
      </c>
      <c r="U252" t="s">
        <v>320</v>
      </c>
      <c r="V252" s="478">
        <f t="shared" si="175"/>
        <v>0</v>
      </c>
      <c r="W252" s="142">
        <f t="shared" si="143"/>
        <v>0</v>
      </c>
      <c r="X252" s="1076"/>
    </row>
    <row r="253" spans="1:24" x14ac:dyDescent="0.2">
      <c r="A253" t="s">
        <v>321</v>
      </c>
      <c r="B253" s="478">
        <f t="shared" si="170"/>
        <v>76170.239999999991</v>
      </c>
      <c r="C253" s="478">
        <f t="shared" si="170"/>
        <v>3173.7599999999998</v>
      </c>
      <c r="D253" s="9">
        <v>42</v>
      </c>
      <c r="E253" s="10">
        <v>3</v>
      </c>
      <c r="F253" s="476">
        <f t="shared" si="138"/>
        <v>76170.239999999991</v>
      </c>
      <c r="G253" s="476">
        <f t="shared" si="139"/>
        <v>3173.7599999999998</v>
      </c>
      <c r="H253">
        <f t="shared" si="171"/>
        <v>79719.839999999997</v>
      </c>
      <c r="I253">
        <f t="shared" si="172"/>
        <v>3321.66</v>
      </c>
      <c r="L253" t="s">
        <v>321</v>
      </c>
      <c r="M253" s="143">
        <f t="shared" si="173"/>
        <v>36.479999999999997</v>
      </c>
      <c r="N253" s="476">
        <f t="shared" si="144"/>
        <v>0</v>
      </c>
      <c r="O253" s="142">
        <f t="shared" si="140"/>
        <v>36.479999999999997</v>
      </c>
      <c r="P253" s="476">
        <f t="shared" si="141"/>
        <v>76170.239999999991</v>
      </c>
      <c r="Q253" s="476"/>
      <c r="R253" s="476">
        <f t="shared" si="151"/>
        <v>0</v>
      </c>
      <c r="S253" s="476">
        <f t="shared" si="142"/>
        <v>36.479999999999997</v>
      </c>
      <c r="T253" s="478">
        <f t="shared" si="174"/>
        <v>76170.239999999991</v>
      </c>
      <c r="U253" t="s">
        <v>321</v>
      </c>
      <c r="V253" s="478">
        <f t="shared" si="175"/>
        <v>0</v>
      </c>
      <c r="W253" s="142">
        <f t="shared" si="143"/>
        <v>0</v>
      </c>
      <c r="X253" s="1076"/>
    </row>
    <row r="254" spans="1:24" x14ac:dyDescent="0.2">
      <c r="A254" t="s">
        <v>322</v>
      </c>
      <c r="B254" s="478">
        <f t="shared" si="170"/>
        <v>79719.839999999997</v>
      </c>
      <c r="C254" s="478">
        <f t="shared" si="170"/>
        <v>3321.66</v>
      </c>
      <c r="D254" s="9">
        <v>42</v>
      </c>
      <c r="E254" s="10">
        <v>4</v>
      </c>
      <c r="F254" s="476">
        <f t="shared" si="138"/>
        <v>79719.839999999997</v>
      </c>
      <c r="G254" s="476">
        <f t="shared" si="139"/>
        <v>3321.66</v>
      </c>
      <c r="H254">
        <f t="shared" si="171"/>
        <v>83394.720000000001</v>
      </c>
      <c r="I254">
        <f t="shared" si="172"/>
        <v>3474.78</v>
      </c>
      <c r="L254" t="s">
        <v>322</v>
      </c>
      <c r="M254" s="143">
        <f t="shared" si="173"/>
        <v>38.18</v>
      </c>
      <c r="N254" s="476">
        <f t="shared" si="144"/>
        <v>0</v>
      </c>
      <c r="O254" s="142">
        <f t="shared" si="140"/>
        <v>38.18</v>
      </c>
      <c r="P254" s="476">
        <f t="shared" si="141"/>
        <v>79719.839999999997</v>
      </c>
      <c r="Q254" s="476"/>
      <c r="R254" s="476">
        <f t="shared" si="151"/>
        <v>0</v>
      </c>
      <c r="S254" s="476">
        <f t="shared" si="142"/>
        <v>38.18</v>
      </c>
      <c r="T254" s="478">
        <f t="shared" si="174"/>
        <v>79740.72</v>
      </c>
      <c r="U254" t="s">
        <v>322</v>
      </c>
      <c r="V254" s="478">
        <f t="shared" si="175"/>
        <v>20.88</v>
      </c>
      <c r="W254" s="142">
        <f t="shared" si="143"/>
        <v>20.880000000004657</v>
      </c>
      <c r="X254" s="1076"/>
    </row>
    <row r="255" spans="1:24" x14ac:dyDescent="0.2">
      <c r="A255" t="s">
        <v>323</v>
      </c>
      <c r="B255" s="478">
        <f t="shared" si="170"/>
        <v>83394.720000000001</v>
      </c>
      <c r="C255" s="478">
        <f t="shared" si="170"/>
        <v>3474.78</v>
      </c>
      <c r="D255" s="9">
        <v>42</v>
      </c>
      <c r="E255" s="10">
        <v>5</v>
      </c>
      <c r="F255" s="476">
        <f t="shared" si="138"/>
        <v>83394.720000000001</v>
      </c>
      <c r="G255" s="476">
        <f t="shared" si="139"/>
        <v>3474.78</v>
      </c>
      <c r="H255">
        <f t="shared" si="171"/>
        <v>87320.16</v>
      </c>
      <c r="I255">
        <f t="shared" si="172"/>
        <v>3638.34</v>
      </c>
      <c r="L255" t="s">
        <v>323</v>
      </c>
      <c r="M255" s="143">
        <f t="shared" si="173"/>
        <v>39.94</v>
      </c>
      <c r="N255" s="476">
        <f t="shared" si="144"/>
        <v>0</v>
      </c>
      <c r="O255" s="142">
        <f t="shared" si="140"/>
        <v>39.94</v>
      </c>
      <c r="P255" s="476">
        <f t="shared" si="141"/>
        <v>83394.720000000001</v>
      </c>
      <c r="Q255" s="476"/>
      <c r="R255" s="476">
        <f t="shared" si="151"/>
        <v>0</v>
      </c>
      <c r="S255" s="476">
        <f t="shared" si="142"/>
        <v>39.94</v>
      </c>
      <c r="T255" s="478">
        <f t="shared" si="174"/>
        <v>83394.720000000001</v>
      </c>
      <c r="U255" t="s">
        <v>323</v>
      </c>
      <c r="V255" s="478">
        <f t="shared" si="175"/>
        <v>0</v>
      </c>
      <c r="W255" s="142">
        <f t="shared" si="143"/>
        <v>0</v>
      </c>
      <c r="X255" s="1076"/>
    </row>
    <row r="256" spans="1:24" x14ac:dyDescent="0.2">
      <c r="A256" t="s">
        <v>324</v>
      </c>
      <c r="B256" s="478">
        <f t="shared" si="170"/>
        <v>87320.16</v>
      </c>
      <c r="C256" s="478">
        <f t="shared" si="170"/>
        <v>3638.34</v>
      </c>
      <c r="D256" s="9">
        <v>42</v>
      </c>
      <c r="E256" s="10">
        <v>6</v>
      </c>
      <c r="F256" s="476">
        <f t="shared" si="138"/>
        <v>87320.16</v>
      </c>
      <c r="G256" s="476">
        <f t="shared" si="139"/>
        <v>3638.34</v>
      </c>
      <c r="H256">
        <f t="shared" si="171"/>
        <v>91350</v>
      </c>
      <c r="I256">
        <f t="shared" si="172"/>
        <v>3806.25</v>
      </c>
      <c r="L256" t="s">
        <v>324</v>
      </c>
      <c r="M256" s="143">
        <f t="shared" si="173"/>
        <v>41.82</v>
      </c>
      <c r="N256" s="476">
        <f t="shared" si="144"/>
        <v>0</v>
      </c>
      <c r="O256" s="142">
        <f t="shared" si="140"/>
        <v>41.82</v>
      </c>
      <c r="P256" s="476">
        <f t="shared" si="141"/>
        <v>87320.16</v>
      </c>
      <c r="Q256" s="476"/>
      <c r="R256" s="476">
        <f t="shared" si="151"/>
        <v>0</v>
      </c>
      <c r="S256" s="476">
        <f t="shared" si="142"/>
        <v>41.82</v>
      </c>
      <c r="T256" s="478">
        <f t="shared" si="174"/>
        <v>87320.16</v>
      </c>
      <c r="U256" t="s">
        <v>324</v>
      </c>
      <c r="V256" s="478">
        <f t="shared" si="175"/>
        <v>0</v>
      </c>
      <c r="W256" s="142">
        <f t="shared" si="143"/>
        <v>0</v>
      </c>
      <c r="X256" s="1076"/>
    </row>
    <row r="257" spans="1:24" x14ac:dyDescent="0.2">
      <c r="A257" t="s">
        <v>325</v>
      </c>
      <c r="B257" s="478">
        <f t="shared" si="170"/>
        <v>91350</v>
      </c>
      <c r="C257" s="478">
        <f t="shared" si="170"/>
        <v>3806.25</v>
      </c>
      <c r="D257" s="9">
        <v>42</v>
      </c>
      <c r="E257" s="10">
        <v>7</v>
      </c>
      <c r="F257" s="476">
        <f t="shared" si="138"/>
        <v>91350</v>
      </c>
      <c r="G257" s="476">
        <f t="shared" si="139"/>
        <v>3806.25</v>
      </c>
      <c r="H257">
        <f t="shared" si="171"/>
        <v>95672.16</v>
      </c>
      <c r="I257">
        <f t="shared" si="172"/>
        <v>3986.34</v>
      </c>
      <c r="L257" t="s">
        <v>325</v>
      </c>
      <c r="M257" s="143">
        <f t="shared" si="173"/>
        <v>43.75</v>
      </c>
      <c r="N257" s="476">
        <f t="shared" si="144"/>
        <v>0</v>
      </c>
      <c r="O257" s="142">
        <f t="shared" si="140"/>
        <v>43.75</v>
      </c>
      <c r="P257" s="476">
        <f t="shared" si="141"/>
        <v>91350</v>
      </c>
      <c r="Q257" s="476"/>
      <c r="R257" s="476">
        <f t="shared" si="151"/>
        <v>0</v>
      </c>
      <c r="S257" s="476">
        <f t="shared" si="142"/>
        <v>43.75</v>
      </c>
      <c r="T257" s="478">
        <f t="shared" si="174"/>
        <v>91350</v>
      </c>
      <c r="U257" t="s">
        <v>325</v>
      </c>
      <c r="V257" s="478">
        <f t="shared" si="175"/>
        <v>0</v>
      </c>
      <c r="W257" s="142">
        <f t="shared" si="143"/>
        <v>0</v>
      </c>
      <c r="X257" s="1076"/>
    </row>
    <row r="258" spans="1:24" x14ac:dyDescent="0.2">
      <c r="A258" t="s">
        <v>326</v>
      </c>
      <c r="B258" s="478">
        <f t="shared" si="170"/>
        <v>95672.16</v>
      </c>
      <c r="C258" s="478">
        <f t="shared" si="170"/>
        <v>3986.34</v>
      </c>
      <c r="D258" s="9">
        <v>42</v>
      </c>
      <c r="E258" s="10">
        <v>8</v>
      </c>
      <c r="F258" s="476">
        <f t="shared" si="138"/>
        <v>95672.16</v>
      </c>
      <c r="G258" s="476">
        <f t="shared" si="139"/>
        <v>3986.34</v>
      </c>
      <c r="H258">
        <f t="shared" si="171"/>
        <v>100161.36</v>
      </c>
      <c r="I258">
        <f t="shared" si="172"/>
        <v>4173.3900000000003</v>
      </c>
      <c r="L258" t="s">
        <v>326</v>
      </c>
      <c r="M258" s="143">
        <f t="shared" si="173"/>
        <v>45.82</v>
      </c>
      <c r="N258" s="476">
        <f t="shared" si="144"/>
        <v>0</v>
      </c>
      <c r="O258" s="142">
        <f t="shared" si="140"/>
        <v>45.82</v>
      </c>
      <c r="P258" s="476">
        <f t="shared" si="141"/>
        <v>95672.16</v>
      </c>
      <c r="Q258" s="476"/>
      <c r="R258" s="476">
        <f t="shared" si="151"/>
        <v>0</v>
      </c>
      <c r="S258" s="476">
        <f t="shared" si="142"/>
        <v>45.82</v>
      </c>
      <c r="T258" s="478">
        <f t="shared" si="174"/>
        <v>95672.16</v>
      </c>
      <c r="U258" t="s">
        <v>326</v>
      </c>
      <c r="V258" s="478">
        <f t="shared" si="175"/>
        <v>0</v>
      </c>
      <c r="W258" s="142">
        <f t="shared" si="143"/>
        <v>0</v>
      </c>
      <c r="X258" s="1076"/>
    </row>
    <row r="259" spans="1:24" x14ac:dyDescent="0.2">
      <c r="A259" t="s">
        <v>327</v>
      </c>
      <c r="B259" s="478">
        <f t="shared" si="170"/>
        <v>100161.36</v>
      </c>
      <c r="C259" s="478">
        <f t="shared" si="170"/>
        <v>4173.3900000000003</v>
      </c>
      <c r="D259" s="9">
        <v>42</v>
      </c>
      <c r="E259" s="10">
        <v>9</v>
      </c>
      <c r="F259" s="476">
        <f t="shared" si="138"/>
        <v>100161.36</v>
      </c>
      <c r="G259" s="476">
        <f t="shared" si="139"/>
        <v>4173.3900000000003</v>
      </c>
      <c r="H259">
        <f t="shared" si="171"/>
        <v>104901.12000000001</v>
      </c>
      <c r="I259">
        <f t="shared" si="172"/>
        <v>4370.88</v>
      </c>
      <c r="L259" t="s">
        <v>327</v>
      </c>
      <c r="M259" s="143">
        <f t="shared" si="173"/>
        <v>47.97</v>
      </c>
      <c r="N259" s="476">
        <f t="shared" si="144"/>
        <v>0</v>
      </c>
      <c r="O259" s="142">
        <f t="shared" si="140"/>
        <v>47.97</v>
      </c>
      <c r="P259" s="476">
        <f t="shared" si="141"/>
        <v>100161.36</v>
      </c>
      <c r="Q259" s="476"/>
      <c r="R259" s="476">
        <f t="shared" si="151"/>
        <v>0</v>
      </c>
      <c r="S259" s="476">
        <f t="shared" si="142"/>
        <v>47.97</v>
      </c>
      <c r="T259" s="478">
        <f t="shared" si="174"/>
        <v>100182.24</v>
      </c>
      <c r="U259" t="s">
        <v>327</v>
      </c>
      <c r="V259" s="478">
        <f t="shared" si="175"/>
        <v>20.88</v>
      </c>
      <c r="W259" s="142">
        <f t="shared" si="143"/>
        <v>20.880000000004657</v>
      </c>
      <c r="X259" s="1076"/>
    </row>
    <row r="260" spans="1:24" x14ac:dyDescent="0.2">
      <c r="A260" t="s">
        <v>328</v>
      </c>
      <c r="B260" s="477">
        <f>P260</f>
        <v>104901.12000000001</v>
      </c>
      <c r="C260" s="477">
        <f>B260/24</f>
        <v>4370.88</v>
      </c>
      <c r="D260" s="9">
        <v>42</v>
      </c>
      <c r="E260" s="10">
        <v>10</v>
      </c>
      <c r="F260" s="476">
        <f t="shared" si="138"/>
        <v>104901.12000000001</v>
      </c>
      <c r="G260" s="476">
        <f t="shared" si="139"/>
        <v>4370.88</v>
      </c>
      <c r="H260">
        <f>F260</f>
        <v>104901.12000000001</v>
      </c>
      <c r="I260">
        <f>G260</f>
        <v>4370.88</v>
      </c>
      <c r="L260" t="s">
        <v>328</v>
      </c>
      <c r="M260" s="612">
        <v>50.24</v>
      </c>
      <c r="N260" s="476">
        <f t="shared" si="144"/>
        <v>0</v>
      </c>
      <c r="O260" s="142">
        <f t="shared" si="140"/>
        <v>50.24</v>
      </c>
      <c r="P260" s="476">
        <f t="shared" si="141"/>
        <v>104901.12000000001</v>
      </c>
      <c r="Q260" s="476"/>
      <c r="R260" s="476">
        <f t="shared" si="151"/>
        <v>0</v>
      </c>
      <c r="S260" s="476">
        <f t="shared" si="142"/>
        <v>50.24</v>
      </c>
      <c r="T260" s="477">
        <f>S260*$T$9</f>
        <v>104901.12000000001</v>
      </c>
      <c r="U260" t="s">
        <v>328</v>
      </c>
      <c r="V260" s="142">
        <f>R260*2088</f>
        <v>0</v>
      </c>
      <c r="W260" s="142">
        <f t="shared" si="143"/>
        <v>0</v>
      </c>
      <c r="X260" s="1076"/>
    </row>
    <row r="261" spans="1:24" x14ac:dyDescent="0.2">
      <c r="A261" t="s">
        <v>369</v>
      </c>
      <c r="B261" s="478">
        <f t="shared" ref="B261:C269" si="176">B252</f>
        <v>72871.199999999997</v>
      </c>
      <c r="C261" s="478">
        <f t="shared" si="176"/>
        <v>3036.2999999999997</v>
      </c>
      <c r="D261" s="9">
        <v>43</v>
      </c>
      <c r="E261" s="10" t="s">
        <v>23</v>
      </c>
      <c r="F261" s="476">
        <f t="shared" si="138"/>
        <v>72871.199999999997</v>
      </c>
      <c r="G261" s="476">
        <f t="shared" si="139"/>
        <v>3036.2999999999997</v>
      </c>
      <c r="H261">
        <f t="shared" ref="H261:H269" si="177">F262</f>
        <v>76170.239999999991</v>
      </c>
      <c r="I261">
        <f t="shared" ref="I261:I269" si="178">G262</f>
        <v>3173.7599999999998</v>
      </c>
      <c r="L261" t="s">
        <v>369</v>
      </c>
      <c r="M261" s="143">
        <f t="shared" ref="M261:M269" si="179">M252</f>
        <v>34.9</v>
      </c>
      <c r="N261" s="476">
        <f t="shared" si="144"/>
        <v>0</v>
      </c>
      <c r="O261" s="142">
        <f t="shared" si="140"/>
        <v>34.9</v>
      </c>
      <c r="P261" s="476">
        <f t="shared" si="141"/>
        <v>72871.199999999997</v>
      </c>
      <c r="Q261" s="476"/>
      <c r="R261" s="476">
        <f t="shared" si="151"/>
        <v>0</v>
      </c>
      <c r="S261" s="476">
        <f t="shared" si="142"/>
        <v>34.9</v>
      </c>
      <c r="T261" s="478">
        <f t="shared" ref="T261:T269" si="180">T252</f>
        <v>72871.199999999997</v>
      </c>
      <c r="U261" t="s">
        <v>369</v>
      </c>
      <c r="V261" s="478">
        <f t="shared" ref="V261:V269" si="181">V252</f>
        <v>0</v>
      </c>
      <c r="W261" s="142">
        <f t="shared" si="143"/>
        <v>0</v>
      </c>
      <c r="X261" s="1076"/>
    </row>
    <row r="262" spans="1:24" x14ac:dyDescent="0.2">
      <c r="A262" t="s">
        <v>370</v>
      </c>
      <c r="B262" s="478">
        <f t="shared" si="176"/>
        <v>76170.239999999991</v>
      </c>
      <c r="C262" s="478">
        <f t="shared" si="176"/>
        <v>3173.7599999999998</v>
      </c>
      <c r="D262" s="9">
        <v>43</v>
      </c>
      <c r="E262" s="10">
        <v>2</v>
      </c>
      <c r="F262" s="476">
        <f t="shared" si="138"/>
        <v>76170.239999999991</v>
      </c>
      <c r="G262" s="476">
        <f t="shared" si="139"/>
        <v>3173.7599999999998</v>
      </c>
      <c r="H262">
        <f t="shared" si="177"/>
        <v>79719.839999999997</v>
      </c>
      <c r="I262">
        <f t="shared" si="178"/>
        <v>3321.66</v>
      </c>
      <c r="L262" t="s">
        <v>370</v>
      </c>
      <c r="M262" s="143">
        <f t="shared" si="179"/>
        <v>36.479999999999997</v>
      </c>
      <c r="N262" s="476">
        <f t="shared" si="144"/>
        <v>0</v>
      </c>
      <c r="O262" s="142">
        <f t="shared" si="140"/>
        <v>36.479999999999997</v>
      </c>
      <c r="P262" s="476">
        <f t="shared" si="141"/>
        <v>76170.239999999991</v>
      </c>
      <c r="Q262" s="476"/>
      <c r="R262" s="476">
        <f t="shared" si="151"/>
        <v>0</v>
      </c>
      <c r="S262" s="476">
        <f t="shared" si="142"/>
        <v>36.479999999999997</v>
      </c>
      <c r="T262" s="478">
        <f t="shared" si="180"/>
        <v>76170.239999999991</v>
      </c>
      <c r="U262" t="s">
        <v>370</v>
      </c>
      <c r="V262" s="478">
        <f t="shared" si="181"/>
        <v>0</v>
      </c>
      <c r="W262" s="142">
        <f t="shared" si="143"/>
        <v>0</v>
      </c>
      <c r="X262" s="1076"/>
    </row>
    <row r="263" spans="1:24" x14ac:dyDescent="0.2">
      <c r="A263" t="s">
        <v>371</v>
      </c>
      <c r="B263" s="478">
        <f t="shared" si="176"/>
        <v>79719.839999999997</v>
      </c>
      <c r="C263" s="478">
        <f t="shared" si="176"/>
        <v>3321.66</v>
      </c>
      <c r="D263" s="9">
        <v>43</v>
      </c>
      <c r="E263" s="10">
        <v>3</v>
      </c>
      <c r="F263" s="476">
        <f t="shared" si="138"/>
        <v>79719.839999999997</v>
      </c>
      <c r="G263" s="476">
        <f t="shared" si="139"/>
        <v>3321.66</v>
      </c>
      <c r="H263">
        <f t="shared" si="177"/>
        <v>83394.720000000001</v>
      </c>
      <c r="I263">
        <f t="shared" si="178"/>
        <v>3474.78</v>
      </c>
      <c r="L263" t="s">
        <v>371</v>
      </c>
      <c r="M263" s="143">
        <f t="shared" si="179"/>
        <v>38.18</v>
      </c>
      <c r="N263" s="476">
        <f t="shared" si="144"/>
        <v>0</v>
      </c>
      <c r="O263" s="142">
        <f t="shared" si="140"/>
        <v>38.18</v>
      </c>
      <c r="P263" s="476">
        <f t="shared" si="141"/>
        <v>79719.839999999997</v>
      </c>
      <c r="Q263" s="476"/>
      <c r="R263" s="476">
        <f t="shared" si="151"/>
        <v>0</v>
      </c>
      <c r="S263" s="476">
        <f t="shared" si="142"/>
        <v>38.18</v>
      </c>
      <c r="T263" s="478">
        <f t="shared" si="180"/>
        <v>79740.72</v>
      </c>
      <c r="U263" t="s">
        <v>371</v>
      </c>
      <c r="V263" s="478">
        <f t="shared" si="181"/>
        <v>20.88</v>
      </c>
      <c r="W263" s="142">
        <f t="shared" si="143"/>
        <v>20.880000000004657</v>
      </c>
      <c r="X263" s="1076"/>
    </row>
    <row r="264" spans="1:24" x14ac:dyDescent="0.2">
      <c r="A264" t="s">
        <v>372</v>
      </c>
      <c r="B264" s="478">
        <f t="shared" si="176"/>
        <v>83394.720000000001</v>
      </c>
      <c r="C264" s="478">
        <f t="shared" si="176"/>
        <v>3474.78</v>
      </c>
      <c r="D264" s="9">
        <v>43</v>
      </c>
      <c r="E264" s="10">
        <v>4</v>
      </c>
      <c r="F264" s="476">
        <f t="shared" si="138"/>
        <v>83394.720000000001</v>
      </c>
      <c r="G264" s="476">
        <f t="shared" si="139"/>
        <v>3474.78</v>
      </c>
      <c r="H264">
        <f t="shared" si="177"/>
        <v>87320.16</v>
      </c>
      <c r="I264">
        <f t="shared" si="178"/>
        <v>3638.34</v>
      </c>
      <c r="L264" t="s">
        <v>372</v>
      </c>
      <c r="M264" s="143">
        <f t="shared" si="179"/>
        <v>39.94</v>
      </c>
      <c r="N264" s="476">
        <f t="shared" si="144"/>
        <v>0</v>
      </c>
      <c r="O264" s="142">
        <f t="shared" si="140"/>
        <v>39.94</v>
      </c>
      <c r="P264" s="476">
        <f t="shared" si="141"/>
        <v>83394.720000000001</v>
      </c>
      <c r="Q264" s="476"/>
      <c r="R264" s="476">
        <f t="shared" si="151"/>
        <v>0</v>
      </c>
      <c r="S264" s="476">
        <f t="shared" si="142"/>
        <v>39.94</v>
      </c>
      <c r="T264" s="478">
        <f t="shared" si="180"/>
        <v>83394.720000000001</v>
      </c>
      <c r="U264" t="s">
        <v>372</v>
      </c>
      <c r="V264" s="478">
        <f t="shared" si="181"/>
        <v>0</v>
      </c>
      <c r="W264" s="142">
        <f t="shared" si="143"/>
        <v>0</v>
      </c>
      <c r="X264" s="1076"/>
    </row>
    <row r="265" spans="1:24" x14ac:dyDescent="0.2">
      <c r="A265" t="s">
        <v>373</v>
      </c>
      <c r="B265" s="478">
        <f t="shared" si="176"/>
        <v>87320.16</v>
      </c>
      <c r="C265" s="478">
        <f t="shared" si="176"/>
        <v>3638.34</v>
      </c>
      <c r="D265" s="9">
        <v>43</v>
      </c>
      <c r="E265" s="10">
        <v>5</v>
      </c>
      <c r="F265" s="476">
        <f t="shared" si="138"/>
        <v>87320.16</v>
      </c>
      <c r="G265" s="476">
        <f t="shared" si="139"/>
        <v>3638.34</v>
      </c>
      <c r="H265">
        <f t="shared" si="177"/>
        <v>91350</v>
      </c>
      <c r="I265">
        <f t="shared" si="178"/>
        <v>3806.25</v>
      </c>
      <c r="L265" t="s">
        <v>373</v>
      </c>
      <c r="M265" s="143">
        <f t="shared" si="179"/>
        <v>41.82</v>
      </c>
      <c r="N265" s="476">
        <f t="shared" si="144"/>
        <v>0</v>
      </c>
      <c r="O265" s="142">
        <f t="shared" si="140"/>
        <v>41.82</v>
      </c>
      <c r="P265" s="476">
        <f t="shared" si="141"/>
        <v>87320.16</v>
      </c>
      <c r="Q265" s="476"/>
      <c r="R265" s="476">
        <f t="shared" si="151"/>
        <v>0</v>
      </c>
      <c r="S265" s="476">
        <f t="shared" si="142"/>
        <v>41.82</v>
      </c>
      <c r="T265" s="478">
        <f t="shared" si="180"/>
        <v>87320.16</v>
      </c>
      <c r="U265" t="s">
        <v>373</v>
      </c>
      <c r="V265" s="478">
        <f t="shared" si="181"/>
        <v>0</v>
      </c>
      <c r="W265" s="142">
        <f t="shared" si="143"/>
        <v>0</v>
      </c>
      <c r="X265" s="1076"/>
    </row>
    <row r="266" spans="1:24" x14ac:dyDescent="0.2">
      <c r="A266" t="s">
        <v>374</v>
      </c>
      <c r="B266" s="478">
        <f t="shared" si="176"/>
        <v>91350</v>
      </c>
      <c r="C266" s="478">
        <f t="shared" si="176"/>
        <v>3806.25</v>
      </c>
      <c r="D266" s="9">
        <v>43</v>
      </c>
      <c r="E266" s="10">
        <v>6</v>
      </c>
      <c r="F266" s="476">
        <f t="shared" si="138"/>
        <v>91350</v>
      </c>
      <c r="G266" s="476">
        <f t="shared" si="139"/>
        <v>3806.25</v>
      </c>
      <c r="H266">
        <f t="shared" si="177"/>
        <v>95672.16</v>
      </c>
      <c r="I266">
        <f t="shared" si="178"/>
        <v>3986.34</v>
      </c>
      <c r="L266" t="s">
        <v>374</v>
      </c>
      <c r="M266" s="143">
        <f t="shared" si="179"/>
        <v>43.75</v>
      </c>
      <c r="N266" s="476">
        <f t="shared" si="144"/>
        <v>0</v>
      </c>
      <c r="O266" s="142">
        <f t="shared" si="140"/>
        <v>43.75</v>
      </c>
      <c r="P266" s="476">
        <f t="shared" si="141"/>
        <v>91350</v>
      </c>
      <c r="Q266" s="476"/>
      <c r="R266" s="476">
        <f t="shared" si="151"/>
        <v>0</v>
      </c>
      <c r="S266" s="476">
        <f t="shared" si="142"/>
        <v>43.75</v>
      </c>
      <c r="T266" s="478">
        <f t="shared" si="180"/>
        <v>91350</v>
      </c>
      <c r="U266" t="s">
        <v>374</v>
      </c>
      <c r="V266" s="478">
        <f t="shared" si="181"/>
        <v>0</v>
      </c>
      <c r="W266" s="142">
        <f t="shared" si="143"/>
        <v>0</v>
      </c>
      <c r="X266" s="1076"/>
    </row>
    <row r="267" spans="1:24" x14ac:dyDescent="0.2">
      <c r="A267" t="s">
        <v>375</v>
      </c>
      <c r="B267" s="478">
        <f t="shared" si="176"/>
        <v>95672.16</v>
      </c>
      <c r="C267" s="478">
        <f t="shared" si="176"/>
        <v>3986.34</v>
      </c>
      <c r="D267" s="9">
        <v>43</v>
      </c>
      <c r="E267" s="10">
        <v>7</v>
      </c>
      <c r="F267" s="476">
        <f t="shared" ref="F267:F330" si="182">B267</f>
        <v>95672.16</v>
      </c>
      <c r="G267" s="476">
        <f t="shared" ref="G267:G330" si="183">C267</f>
        <v>3986.34</v>
      </c>
      <c r="H267">
        <f t="shared" si="177"/>
        <v>100161.36</v>
      </c>
      <c r="I267">
        <f t="shared" si="178"/>
        <v>4173.3900000000003</v>
      </c>
      <c r="L267" t="s">
        <v>375</v>
      </c>
      <c r="M267" s="143">
        <f t="shared" si="179"/>
        <v>45.82</v>
      </c>
      <c r="N267" s="476">
        <f t="shared" si="144"/>
        <v>0</v>
      </c>
      <c r="O267" s="142">
        <f t="shared" ref="O267:O330" si="184">M267+N267</f>
        <v>45.82</v>
      </c>
      <c r="P267" s="476">
        <f t="shared" ref="P267:P330" si="185">O267*$P$9</f>
        <v>95672.16</v>
      </c>
      <c r="Q267" s="476"/>
      <c r="R267" s="476">
        <f t="shared" si="151"/>
        <v>0</v>
      </c>
      <c r="S267" s="476">
        <f t="shared" ref="S267:S330" si="186">O267+R267</f>
        <v>45.82</v>
      </c>
      <c r="T267" s="478">
        <f t="shared" si="180"/>
        <v>95672.16</v>
      </c>
      <c r="U267" t="s">
        <v>375</v>
      </c>
      <c r="V267" s="478">
        <f t="shared" si="181"/>
        <v>0</v>
      </c>
      <c r="W267" s="142">
        <f t="shared" ref="W267:W330" si="187">T267-P267</f>
        <v>0</v>
      </c>
      <c r="X267" s="1076"/>
    </row>
    <row r="268" spans="1:24" x14ac:dyDescent="0.2">
      <c r="A268" t="s">
        <v>376</v>
      </c>
      <c r="B268" s="478">
        <f t="shared" si="176"/>
        <v>100161.36</v>
      </c>
      <c r="C268" s="478">
        <f t="shared" si="176"/>
        <v>4173.3900000000003</v>
      </c>
      <c r="D268" s="9">
        <v>43</v>
      </c>
      <c r="E268" s="10">
        <v>8</v>
      </c>
      <c r="F268" s="476">
        <f t="shared" si="182"/>
        <v>100161.36</v>
      </c>
      <c r="G268" s="476">
        <f t="shared" si="183"/>
        <v>4173.3900000000003</v>
      </c>
      <c r="H268">
        <f t="shared" si="177"/>
        <v>104901.12000000001</v>
      </c>
      <c r="I268">
        <f t="shared" si="178"/>
        <v>4370.88</v>
      </c>
      <c r="L268" t="s">
        <v>376</v>
      </c>
      <c r="M268" s="143">
        <f t="shared" si="179"/>
        <v>47.97</v>
      </c>
      <c r="N268" s="476">
        <f t="shared" ref="N268:N331" si="188">ROUND(+M268*$N$9,2)</f>
        <v>0</v>
      </c>
      <c r="O268" s="142">
        <f t="shared" si="184"/>
        <v>47.97</v>
      </c>
      <c r="P268" s="476">
        <f t="shared" si="185"/>
        <v>100161.36</v>
      </c>
      <c r="Q268" s="476"/>
      <c r="R268" s="476">
        <f t="shared" si="151"/>
        <v>0</v>
      </c>
      <c r="S268" s="476">
        <f t="shared" si="186"/>
        <v>47.97</v>
      </c>
      <c r="T268" s="478">
        <f t="shared" si="180"/>
        <v>100182.24</v>
      </c>
      <c r="U268" t="s">
        <v>376</v>
      </c>
      <c r="V268" s="478">
        <f t="shared" si="181"/>
        <v>20.88</v>
      </c>
      <c r="W268" s="142">
        <f t="shared" si="187"/>
        <v>20.880000000004657</v>
      </c>
      <c r="X268" s="1076"/>
    </row>
    <row r="269" spans="1:24" x14ac:dyDescent="0.2">
      <c r="A269" t="s">
        <v>377</v>
      </c>
      <c r="B269" s="478">
        <f t="shared" si="176"/>
        <v>104901.12000000001</v>
      </c>
      <c r="C269" s="478">
        <f t="shared" si="176"/>
        <v>4370.88</v>
      </c>
      <c r="D269" s="9">
        <v>43</v>
      </c>
      <c r="E269" s="10">
        <v>9</v>
      </c>
      <c r="F269" s="476">
        <f t="shared" si="182"/>
        <v>104901.12000000001</v>
      </c>
      <c r="G269" s="476">
        <f t="shared" si="183"/>
        <v>4370.88</v>
      </c>
      <c r="H269">
        <f t="shared" si="177"/>
        <v>109849.68</v>
      </c>
      <c r="I269">
        <f t="shared" si="178"/>
        <v>4577.07</v>
      </c>
      <c r="L269" t="s">
        <v>377</v>
      </c>
      <c r="M269" s="143">
        <f t="shared" si="179"/>
        <v>50.24</v>
      </c>
      <c r="N269" s="476">
        <f t="shared" si="188"/>
        <v>0</v>
      </c>
      <c r="O269" s="142">
        <f t="shared" si="184"/>
        <v>50.24</v>
      </c>
      <c r="P269" s="476">
        <f t="shared" si="185"/>
        <v>104901.12000000001</v>
      </c>
      <c r="Q269" s="476"/>
      <c r="R269" s="476">
        <f t="shared" si="151"/>
        <v>0</v>
      </c>
      <c r="S269" s="476">
        <f t="shared" si="186"/>
        <v>50.24</v>
      </c>
      <c r="T269" s="478">
        <f t="shared" si="180"/>
        <v>104901.12000000001</v>
      </c>
      <c r="U269" t="s">
        <v>377</v>
      </c>
      <c r="V269" s="478">
        <f t="shared" si="181"/>
        <v>0</v>
      </c>
      <c r="W269" s="142">
        <f t="shared" si="187"/>
        <v>0</v>
      </c>
      <c r="X269" s="1076"/>
    </row>
    <row r="270" spans="1:24" x14ac:dyDescent="0.2">
      <c r="A270" t="s">
        <v>378</v>
      </c>
      <c r="B270" s="477">
        <f>P270</f>
        <v>109849.68</v>
      </c>
      <c r="C270" s="477">
        <f>B270/24</f>
        <v>4577.07</v>
      </c>
      <c r="D270" s="9">
        <v>43</v>
      </c>
      <c r="E270" s="10">
        <v>10</v>
      </c>
      <c r="F270" s="476">
        <f t="shared" si="182"/>
        <v>109849.68</v>
      </c>
      <c r="G270" s="476">
        <f t="shared" si="183"/>
        <v>4577.07</v>
      </c>
      <c r="H270">
        <f>F270</f>
        <v>109849.68</v>
      </c>
      <c r="I270">
        <f>G270</f>
        <v>4577.07</v>
      </c>
      <c r="L270" t="s">
        <v>378</v>
      </c>
      <c r="M270" s="612">
        <v>52.61</v>
      </c>
      <c r="N270" s="476">
        <f t="shared" si="188"/>
        <v>0</v>
      </c>
      <c r="O270" s="142">
        <f t="shared" si="184"/>
        <v>52.61</v>
      </c>
      <c r="P270" s="476">
        <f t="shared" si="185"/>
        <v>109849.68</v>
      </c>
      <c r="Q270" s="476"/>
      <c r="R270" s="476">
        <f t="shared" si="151"/>
        <v>0</v>
      </c>
      <c r="S270" s="476">
        <f t="shared" si="186"/>
        <v>52.61</v>
      </c>
      <c r="T270" s="477">
        <f>S270*$T$9</f>
        <v>109849.68</v>
      </c>
      <c r="U270" t="s">
        <v>378</v>
      </c>
      <c r="V270" s="142">
        <f>R270*2088</f>
        <v>0</v>
      </c>
      <c r="W270" s="142">
        <f t="shared" si="187"/>
        <v>0</v>
      </c>
      <c r="X270" s="1076"/>
    </row>
    <row r="271" spans="1:24" x14ac:dyDescent="0.2">
      <c r="A271" t="s">
        <v>379</v>
      </c>
      <c r="B271" s="478">
        <f t="shared" ref="B271:C279" si="189">B262</f>
        <v>76170.239999999991</v>
      </c>
      <c r="C271" s="478">
        <f t="shared" si="189"/>
        <v>3173.7599999999998</v>
      </c>
      <c r="D271" s="9">
        <v>44</v>
      </c>
      <c r="E271" s="10" t="s">
        <v>23</v>
      </c>
      <c r="F271" s="476">
        <f t="shared" si="182"/>
        <v>76170.239999999991</v>
      </c>
      <c r="G271" s="476">
        <f t="shared" si="183"/>
        <v>3173.7599999999998</v>
      </c>
      <c r="H271">
        <f t="shared" ref="H271:H279" si="190">F272</f>
        <v>79719.839999999997</v>
      </c>
      <c r="I271">
        <f t="shared" ref="I271:I279" si="191">G272</f>
        <v>3321.66</v>
      </c>
      <c r="L271" t="s">
        <v>379</v>
      </c>
      <c r="M271" s="143">
        <f t="shared" ref="M271:M279" si="192">M262</f>
        <v>36.479999999999997</v>
      </c>
      <c r="N271" s="476">
        <f t="shared" si="188"/>
        <v>0</v>
      </c>
      <c r="O271" s="142">
        <f t="shared" si="184"/>
        <v>36.479999999999997</v>
      </c>
      <c r="P271" s="476">
        <f t="shared" si="185"/>
        <v>76170.239999999991</v>
      </c>
      <c r="Q271" s="476"/>
      <c r="R271" s="476">
        <f t="shared" si="151"/>
        <v>0</v>
      </c>
      <c r="S271" s="476">
        <f t="shared" si="186"/>
        <v>36.479999999999997</v>
      </c>
      <c r="T271" s="478">
        <f t="shared" ref="T271:T279" si="193">T262</f>
        <v>76170.239999999991</v>
      </c>
      <c r="U271" t="s">
        <v>379</v>
      </c>
      <c r="V271" s="478">
        <f t="shared" ref="V271:V279" si="194">V262</f>
        <v>0</v>
      </c>
      <c r="W271" s="142">
        <f t="shared" si="187"/>
        <v>0</v>
      </c>
      <c r="X271" s="1076"/>
    </row>
    <row r="272" spans="1:24" x14ac:dyDescent="0.2">
      <c r="A272" t="s">
        <v>380</v>
      </c>
      <c r="B272" s="478">
        <f t="shared" si="189"/>
        <v>79719.839999999997</v>
      </c>
      <c r="C272" s="478">
        <f t="shared" si="189"/>
        <v>3321.66</v>
      </c>
      <c r="D272" s="9">
        <v>44</v>
      </c>
      <c r="E272" s="10">
        <v>2</v>
      </c>
      <c r="F272" s="476">
        <f t="shared" si="182"/>
        <v>79719.839999999997</v>
      </c>
      <c r="G272" s="476">
        <f t="shared" si="183"/>
        <v>3321.66</v>
      </c>
      <c r="H272">
        <f t="shared" si="190"/>
        <v>83394.720000000001</v>
      </c>
      <c r="I272">
        <f t="shared" si="191"/>
        <v>3474.78</v>
      </c>
      <c r="L272" t="s">
        <v>380</v>
      </c>
      <c r="M272" s="143">
        <f t="shared" si="192"/>
        <v>38.18</v>
      </c>
      <c r="N272" s="476">
        <f t="shared" si="188"/>
        <v>0</v>
      </c>
      <c r="O272" s="142">
        <f t="shared" si="184"/>
        <v>38.18</v>
      </c>
      <c r="P272" s="476">
        <f t="shared" si="185"/>
        <v>79719.839999999997</v>
      </c>
      <c r="Q272" s="476"/>
      <c r="R272" s="476">
        <f t="shared" si="151"/>
        <v>0</v>
      </c>
      <c r="S272" s="476">
        <f t="shared" si="186"/>
        <v>38.18</v>
      </c>
      <c r="T272" s="478">
        <f t="shared" si="193"/>
        <v>79740.72</v>
      </c>
      <c r="U272" t="s">
        <v>380</v>
      </c>
      <c r="V272" s="478">
        <f t="shared" si="194"/>
        <v>20.88</v>
      </c>
      <c r="W272" s="142">
        <f t="shared" si="187"/>
        <v>20.880000000004657</v>
      </c>
      <c r="X272" s="1076"/>
    </row>
    <row r="273" spans="1:24" x14ac:dyDescent="0.2">
      <c r="A273" t="s">
        <v>381</v>
      </c>
      <c r="B273" s="478">
        <f t="shared" si="189"/>
        <v>83394.720000000001</v>
      </c>
      <c r="C273" s="478">
        <f t="shared" si="189"/>
        <v>3474.78</v>
      </c>
      <c r="D273" s="9">
        <v>44</v>
      </c>
      <c r="E273" s="10">
        <v>3</v>
      </c>
      <c r="F273" s="476">
        <f t="shared" si="182"/>
        <v>83394.720000000001</v>
      </c>
      <c r="G273" s="476">
        <f t="shared" si="183"/>
        <v>3474.78</v>
      </c>
      <c r="H273">
        <f t="shared" si="190"/>
        <v>87320.16</v>
      </c>
      <c r="I273">
        <f t="shared" si="191"/>
        <v>3638.34</v>
      </c>
      <c r="L273" t="s">
        <v>381</v>
      </c>
      <c r="M273" s="143">
        <f t="shared" si="192"/>
        <v>39.94</v>
      </c>
      <c r="N273" s="476">
        <f t="shared" si="188"/>
        <v>0</v>
      </c>
      <c r="O273" s="142">
        <f t="shared" si="184"/>
        <v>39.94</v>
      </c>
      <c r="P273" s="476">
        <f t="shared" si="185"/>
        <v>83394.720000000001</v>
      </c>
      <c r="Q273" s="476"/>
      <c r="R273" s="476">
        <f t="shared" si="151"/>
        <v>0</v>
      </c>
      <c r="S273" s="476">
        <f t="shared" si="186"/>
        <v>39.94</v>
      </c>
      <c r="T273" s="478">
        <f t="shared" si="193"/>
        <v>83394.720000000001</v>
      </c>
      <c r="U273" t="s">
        <v>381</v>
      </c>
      <c r="V273" s="478">
        <f t="shared" si="194"/>
        <v>0</v>
      </c>
      <c r="W273" s="142">
        <f t="shared" si="187"/>
        <v>0</v>
      </c>
      <c r="X273" s="1076"/>
    </row>
    <row r="274" spans="1:24" x14ac:dyDescent="0.2">
      <c r="A274" t="s">
        <v>382</v>
      </c>
      <c r="B274" s="478">
        <f t="shared" si="189"/>
        <v>87320.16</v>
      </c>
      <c r="C274" s="478">
        <f t="shared" si="189"/>
        <v>3638.34</v>
      </c>
      <c r="D274" s="9">
        <v>44</v>
      </c>
      <c r="E274" s="10">
        <v>4</v>
      </c>
      <c r="F274" s="476">
        <f t="shared" si="182"/>
        <v>87320.16</v>
      </c>
      <c r="G274" s="476">
        <f t="shared" si="183"/>
        <v>3638.34</v>
      </c>
      <c r="H274">
        <f t="shared" si="190"/>
        <v>91350</v>
      </c>
      <c r="I274">
        <f t="shared" si="191"/>
        <v>3806.25</v>
      </c>
      <c r="L274" t="s">
        <v>382</v>
      </c>
      <c r="M274" s="143">
        <f t="shared" si="192"/>
        <v>41.82</v>
      </c>
      <c r="N274" s="476">
        <f t="shared" si="188"/>
        <v>0</v>
      </c>
      <c r="O274" s="142">
        <f t="shared" si="184"/>
        <v>41.82</v>
      </c>
      <c r="P274" s="476">
        <f t="shared" si="185"/>
        <v>87320.16</v>
      </c>
      <c r="Q274" s="476"/>
      <c r="R274" s="476">
        <f t="shared" si="151"/>
        <v>0</v>
      </c>
      <c r="S274" s="476">
        <f t="shared" si="186"/>
        <v>41.82</v>
      </c>
      <c r="T274" s="478">
        <f t="shared" si="193"/>
        <v>87320.16</v>
      </c>
      <c r="U274" t="s">
        <v>382</v>
      </c>
      <c r="V274" s="478">
        <f t="shared" si="194"/>
        <v>0</v>
      </c>
      <c r="W274" s="142">
        <f t="shared" si="187"/>
        <v>0</v>
      </c>
      <c r="X274" s="1076"/>
    </row>
    <row r="275" spans="1:24" x14ac:dyDescent="0.2">
      <c r="A275" t="s">
        <v>383</v>
      </c>
      <c r="B275" s="478">
        <f t="shared" si="189"/>
        <v>91350</v>
      </c>
      <c r="C275" s="478">
        <f t="shared" si="189"/>
        <v>3806.25</v>
      </c>
      <c r="D275" s="9">
        <v>44</v>
      </c>
      <c r="E275" s="10">
        <v>5</v>
      </c>
      <c r="F275" s="476">
        <f t="shared" si="182"/>
        <v>91350</v>
      </c>
      <c r="G275" s="476">
        <f t="shared" si="183"/>
        <v>3806.25</v>
      </c>
      <c r="H275">
        <f t="shared" si="190"/>
        <v>95672.16</v>
      </c>
      <c r="I275">
        <f t="shared" si="191"/>
        <v>3986.34</v>
      </c>
      <c r="L275" t="s">
        <v>383</v>
      </c>
      <c r="M275" s="143">
        <f t="shared" si="192"/>
        <v>43.75</v>
      </c>
      <c r="N275" s="476">
        <f t="shared" si="188"/>
        <v>0</v>
      </c>
      <c r="O275" s="142">
        <f t="shared" si="184"/>
        <v>43.75</v>
      </c>
      <c r="P275" s="476">
        <f t="shared" si="185"/>
        <v>91350</v>
      </c>
      <c r="Q275" s="476"/>
      <c r="R275" s="476">
        <f t="shared" si="151"/>
        <v>0</v>
      </c>
      <c r="S275" s="476">
        <f t="shared" si="186"/>
        <v>43.75</v>
      </c>
      <c r="T275" s="478">
        <f t="shared" si="193"/>
        <v>91350</v>
      </c>
      <c r="U275" t="s">
        <v>383</v>
      </c>
      <c r="V275" s="478">
        <f t="shared" si="194"/>
        <v>0</v>
      </c>
      <c r="W275" s="142">
        <f t="shared" si="187"/>
        <v>0</v>
      </c>
      <c r="X275" s="1076"/>
    </row>
    <row r="276" spans="1:24" x14ac:dyDescent="0.2">
      <c r="A276" t="s">
        <v>384</v>
      </c>
      <c r="B276" s="478">
        <f t="shared" si="189"/>
        <v>95672.16</v>
      </c>
      <c r="C276" s="478">
        <f t="shared" si="189"/>
        <v>3986.34</v>
      </c>
      <c r="D276" s="9">
        <v>44</v>
      </c>
      <c r="E276" s="10">
        <v>6</v>
      </c>
      <c r="F276" s="476">
        <f t="shared" si="182"/>
        <v>95672.16</v>
      </c>
      <c r="G276" s="476">
        <f t="shared" si="183"/>
        <v>3986.34</v>
      </c>
      <c r="H276">
        <f t="shared" si="190"/>
        <v>100161.36</v>
      </c>
      <c r="I276">
        <f t="shared" si="191"/>
        <v>4173.3900000000003</v>
      </c>
      <c r="L276" t="s">
        <v>384</v>
      </c>
      <c r="M276" s="143">
        <f t="shared" si="192"/>
        <v>45.82</v>
      </c>
      <c r="N276" s="476">
        <f t="shared" si="188"/>
        <v>0</v>
      </c>
      <c r="O276" s="142">
        <f t="shared" si="184"/>
        <v>45.82</v>
      </c>
      <c r="P276" s="476">
        <f t="shared" si="185"/>
        <v>95672.16</v>
      </c>
      <c r="Q276" s="476"/>
      <c r="R276" s="476">
        <f t="shared" si="151"/>
        <v>0</v>
      </c>
      <c r="S276" s="476">
        <f t="shared" si="186"/>
        <v>45.82</v>
      </c>
      <c r="T276" s="478">
        <f t="shared" si="193"/>
        <v>95672.16</v>
      </c>
      <c r="U276" t="s">
        <v>384</v>
      </c>
      <c r="V276" s="478">
        <f t="shared" si="194"/>
        <v>0</v>
      </c>
      <c r="W276" s="142">
        <f t="shared" si="187"/>
        <v>0</v>
      </c>
      <c r="X276" s="1076"/>
    </row>
    <row r="277" spans="1:24" x14ac:dyDescent="0.2">
      <c r="A277" t="s">
        <v>385</v>
      </c>
      <c r="B277" s="478">
        <f t="shared" si="189"/>
        <v>100161.36</v>
      </c>
      <c r="C277" s="478">
        <f t="shared" si="189"/>
        <v>4173.3900000000003</v>
      </c>
      <c r="D277" s="9">
        <v>44</v>
      </c>
      <c r="E277" s="10">
        <v>7</v>
      </c>
      <c r="F277" s="476">
        <f t="shared" si="182"/>
        <v>100161.36</v>
      </c>
      <c r="G277" s="476">
        <f t="shared" si="183"/>
        <v>4173.3900000000003</v>
      </c>
      <c r="H277">
        <f t="shared" si="190"/>
        <v>104901.12000000001</v>
      </c>
      <c r="I277">
        <f t="shared" si="191"/>
        <v>4370.88</v>
      </c>
      <c r="L277" t="s">
        <v>385</v>
      </c>
      <c r="M277" s="143">
        <f t="shared" si="192"/>
        <v>47.97</v>
      </c>
      <c r="N277" s="476">
        <f t="shared" si="188"/>
        <v>0</v>
      </c>
      <c r="O277" s="142">
        <f t="shared" si="184"/>
        <v>47.97</v>
      </c>
      <c r="P277" s="476">
        <f t="shared" si="185"/>
        <v>100161.36</v>
      </c>
      <c r="Q277" s="476"/>
      <c r="R277" s="476">
        <f t="shared" ref="R277:R340" si="195">ROUND(+M277*$R$9,2)</f>
        <v>0</v>
      </c>
      <c r="S277" s="476">
        <f t="shared" si="186"/>
        <v>47.97</v>
      </c>
      <c r="T277" s="478">
        <f t="shared" si="193"/>
        <v>100182.24</v>
      </c>
      <c r="U277" t="s">
        <v>385</v>
      </c>
      <c r="V277" s="478">
        <f t="shared" si="194"/>
        <v>20.88</v>
      </c>
      <c r="W277" s="142">
        <f t="shared" si="187"/>
        <v>20.880000000004657</v>
      </c>
      <c r="X277" s="1076"/>
    </row>
    <row r="278" spans="1:24" x14ac:dyDescent="0.2">
      <c r="A278" t="s">
        <v>386</v>
      </c>
      <c r="B278" s="478">
        <f t="shared" si="189"/>
        <v>104901.12000000001</v>
      </c>
      <c r="C278" s="478">
        <f t="shared" si="189"/>
        <v>4370.88</v>
      </c>
      <c r="D278" s="9">
        <v>44</v>
      </c>
      <c r="E278" s="10">
        <v>8</v>
      </c>
      <c r="F278" s="476">
        <f t="shared" si="182"/>
        <v>104901.12000000001</v>
      </c>
      <c r="G278" s="476">
        <f t="shared" si="183"/>
        <v>4370.88</v>
      </c>
      <c r="H278">
        <f t="shared" si="190"/>
        <v>109849.68</v>
      </c>
      <c r="I278">
        <f t="shared" si="191"/>
        <v>4577.07</v>
      </c>
      <c r="L278" t="s">
        <v>386</v>
      </c>
      <c r="M278" s="143">
        <f t="shared" si="192"/>
        <v>50.24</v>
      </c>
      <c r="N278" s="476">
        <f t="shared" si="188"/>
        <v>0</v>
      </c>
      <c r="O278" s="142">
        <f t="shared" si="184"/>
        <v>50.24</v>
      </c>
      <c r="P278" s="476">
        <f t="shared" si="185"/>
        <v>104901.12000000001</v>
      </c>
      <c r="Q278" s="476"/>
      <c r="R278" s="476">
        <f t="shared" si="195"/>
        <v>0</v>
      </c>
      <c r="S278" s="476">
        <f t="shared" si="186"/>
        <v>50.24</v>
      </c>
      <c r="T278" s="478">
        <f t="shared" si="193"/>
        <v>104901.12000000001</v>
      </c>
      <c r="U278" t="s">
        <v>386</v>
      </c>
      <c r="V278" s="478">
        <f t="shared" si="194"/>
        <v>0</v>
      </c>
      <c r="W278" s="142">
        <f t="shared" si="187"/>
        <v>0</v>
      </c>
      <c r="X278" s="1076"/>
    </row>
    <row r="279" spans="1:24" x14ac:dyDescent="0.2">
      <c r="A279" t="s">
        <v>387</v>
      </c>
      <c r="B279" s="478">
        <f t="shared" si="189"/>
        <v>109849.68</v>
      </c>
      <c r="C279" s="478">
        <f t="shared" si="189"/>
        <v>4577.07</v>
      </c>
      <c r="D279" s="9">
        <v>44</v>
      </c>
      <c r="E279" s="10">
        <v>9</v>
      </c>
      <c r="F279" s="476">
        <f t="shared" si="182"/>
        <v>109849.68</v>
      </c>
      <c r="G279" s="476">
        <f t="shared" si="183"/>
        <v>4577.07</v>
      </c>
      <c r="H279">
        <f t="shared" si="190"/>
        <v>115090.56</v>
      </c>
      <c r="I279">
        <f t="shared" si="191"/>
        <v>4795.4399999999996</v>
      </c>
      <c r="L279" t="s">
        <v>387</v>
      </c>
      <c r="M279" s="143">
        <f t="shared" si="192"/>
        <v>52.61</v>
      </c>
      <c r="N279" s="476">
        <f t="shared" si="188"/>
        <v>0</v>
      </c>
      <c r="O279" s="142">
        <f t="shared" si="184"/>
        <v>52.61</v>
      </c>
      <c r="P279" s="476">
        <f t="shared" si="185"/>
        <v>109849.68</v>
      </c>
      <c r="Q279" s="476"/>
      <c r="R279" s="476">
        <f t="shared" si="195"/>
        <v>0</v>
      </c>
      <c r="S279" s="476">
        <f t="shared" si="186"/>
        <v>52.61</v>
      </c>
      <c r="T279" s="478">
        <f t="shared" si="193"/>
        <v>109849.68</v>
      </c>
      <c r="U279" t="s">
        <v>387</v>
      </c>
      <c r="V279" s="478">
        <f t="shared" si="194"/>
        <v>0</v>
      </c>
      <c r="W279" s="142">
        <f t="shared" si="187"/>
        <v>0</v>
      </c>
      <c r="X279" s="1076"/>
    </row>
    <row r="280" spans="1:24" x14ac:dyDescent="0.2">
      <c r="A280" t="s">
        <v>388</v>
      </c>
      <c r="B280" s="477">
        <f>P280</f>
        <v>115090.56</v>
      </c>
      <c r="C280" s="477">
        <f>B280/24</f>
        <v>4795.4399999999996</v>
      </c>
      <c r="D280" s="9">
        <v>44</v>
      </c>
      <c r="E280" s="10">
        <v>10</v>
      </c>
      <c r="F280" s="476">
        <f t="shared" si="182"/>
        <v>115090.56</v>
      </c>
      <c r="G280" s="476">
        <f t="shared" si="183"/>
        <v>4795.4399999999996</v>
      </c>
      <c r="H280">
        <f>F280</f>
        <v>115090.56</v>
      </c>
      <c r="I280">
        <f>G280</f>
        <v>4795.4399999999996</v>
      </c>
      <c r="L280" t="s">
        <v>388</v>
      </c>
      <c r="M280" s="612">
        <v>55.12</v>
      </c>
      <c r="N280" s="476">
        <f t="shared" si="188"/>
        <v>0</v>
      </c>
      <c r="O280" s="142">
        <f t="shared" si="184"/>
        <v>55.12</v>
      </c>
      <c r="P280" s="476">
        <f t="shared" si="185"/>
        <v>115090.56</v>
      </c>
      <c r="Q280" s="476"/>
      <c r="R280" s="476">
        <f t="shared" si="195"/>
        <v>0</v>
      </c>
      <c r="S280" s="476">
        <f t="shared" si="186"/>
        <v>55.12</v>
      </c>
      <c r="T280" s="477">
        <f>S280*$T$9</f>
        <v>115090.56</v>
      </c>
      <c r="U280" t="s">
        <v>388</v>
      </c>
      <c r="V280" s="142">
        <f>R280*2088</f>
        <v>0</v>
      </c>
      <c r="W280" s="142">
        <f t="shared" si="187"/>
        <v>0</v>
      </c>
      <c r="X280" s="1076"/>
    </row>
    <row r="281" spans="1:24" x14ac:dyDescent="0.2">
      <c r="A281" t="s">
        <v>389</v>
      </c>
      <c r="B281" s="478">
        <f t="shared" ref="B281:C289" si="196">B272</f>
        <v>79719.839999999997</v>
      </c>
      <c r="C281" s="478">
        <f t="shared" si="196"/>
        <v>3321.66</v>
      </c>
      <c r="D281" s="9">
        <v>45</v>
      </c>
      <c r="E281" s="10" t="s">
        <v>23</v>
      </c>
      <c r="F281" s="476">
        <f t="shared" si="182"/>
        <v>79719.839999999997</v>
      </c>
      <c r="G281" s="476">
        <f t="shared" si="183"/>
        <v>3321.66</v>
      </c>
      <c r="H281">
        <f t="shared" ref="H281:H289" si="197">F282</f>
        <v>83394.720000000001</v>
      </c>
      <c r="I281">
        <f t="shared" ref="I281:I289" si="198">G282</f>
        <v>3474.78</v>
      </c>
      <c r="L281" t="s">
        <v>389</v>
      </c>
      <c r="M281" s="143">
        <f t="shared" ref="M281:M289" si="199">M272</f>
        <v>38.18</v>
      </c>
      <c r="N281" s="476">
        <f t="shared" si="188"/>
        <v>0</v>
      </c>
      <c r="O281" s="142">
        <f t="shared" si="184"/>
        <v>38.18</v>
      </c>
      <c r="P281" s="476">
        <f t="shared" si="185"/>
        <v>79719.839999999997</v>
      </c>
      <c r="Q281" s="476"/>
      <c r="R281" s="476">
        <f t="shared" si="195"/>
        <v>0</v>
      </c>
      <c r="S281" s="476">
        <f t="shared" si="186"/>
        <v>38.18</v>
      </c>
      <c r="T281" s="478">
        <f t="shared" ref="T281:T289" si="200">T272</f>
        <v>79740.72</v>
      </c>
      <c r="U281" t="s">
        <v>389</v>
      </c>
      <c r="V281" s="478">
        <f t="shared" ref="V281:V289" si="201">V272</f>
        <v>20.88</v>
      </c>
      <c r="W281" s="142">
        <f t="shared" si="187"/>
        <v>20.880000000004657</v>
      </c>
      <c r="X281" s="1076"/>
    </row>
    <row r="282" spans="1:24" x14ac:dyDescent="0.2">
      <c r="A282" t="s">
        <v>390</v>
      </c>
      <c r="B282" s="478">
        <f t="shared" si="196"/>
        <v>83394.720000000001</v>
      </c>
      <c r="C282" s="478">
        <f t="shared" si="196"/>
        <v>3474.78</v>
      </c>
      <c r="D282" s="9">
        <v>45</v>
      </c>
      <c r="E282" s="10">
        <v>2</v>
      </c>
      <c r="F282" s="476">
        <f t="shared" si="182"/>
        <v>83394.720000000001</v>
      </c>
      <c r="G282" s="476">
        <f t="shared" si="183"/>
        <v>3474.78</v>
      </c>
      <c r="H282">
        <f t="shared" si="197"/>
        <v>87320.16</v>
      </c>
      <c r="I282">
        <f t="shared" si="198"/>
        <v>3638.34</v>
      </c>
      <c r="L282" t="s">
        <v>390</v>
      </c>
      <c r="M282" s="143">
        <f t="shared" si="199"/>
        <v>39.94</v>
      </c>
      <c r="N282" s="476">
        <f t="shared" si="188"/>
        <v>0</v>
      </c>
      <c r="O282" s="142">
        <f t="shared" si="184"/>
        <v>39.94</v>
      </c>
      <c r="P282" s="476">
        <f t="shared" si="185"/>
        <v>83394.720000000001</v>
      </c>
      <c r="Q282" s="476"/>
      <c r="R282" s="476">
        <f t="shared" si="195"/>
        <v>0</v>
      </c>
      <c r="S282" s="476">
        <f t="shared" si="186"/>
        <v>39.94</v>
      </c>
      <c r="T282" s="478">
        <f t="shared" si="200"/>
        <v>83394.720000000001</v>
      </c>
      <c r="U282" t="s">
        <v>390</v>
      </c>
      <c r="V282" s="478">
        <f t="shared" si="201"/>
        <v>0</v>
      </c>
      <c r="W282" s="142">
        <f t="shared" si="187"/>
        <v>0</v>
      </c>
      <c r="X282" s="1076"/>
    </row>
    <row r="283" spans="1:24" x14ac:dyDescent="0.2">
      <c r="A283" t="s">
        <v>391</v>
      </c>
      <c r="B283" s="478">
        <f t="shared" si="196"/>
        <v>87320.16</v>
      </c>
      <c r="C283" s="478">
        <f t="shared" si="196"/>
        <v>3638.34</v>
      </c>
      <c r="D283" s="9">
        <v>45</v>
      </c>
      <c r="E283" s="10">
        <v>3</v>
      </c>
      <c r="F283" s="476">
        <f t="shared" si="182"/>
        <v>87320.16</v>
      </c>
      <c r="G283" s="476">
        <f t="shared" si="183"/>
        <v>3638.34</v>
      </c>
      <c r="H283">
        <f t="shared" si="197"/>
        <v>91350</v>
      </c>
      <c r="I283">
        <f t="shared" si="198"/>
        <v>3806.25</v>
      </c>
      <c r="L283" t="s">
        <v>391</v>
      </c>
      <c r="M283" s="143">
        <f t="shared" si="199"/>
        <v>41.82</v>
      </c>
      <c r="N283" s="476">
        <f t="shared" si="188"/>
        <v>0</v>
      </c>
      <c r="O283" s="142">
        <f t="shared" si="184"/>
        <v>41.82</v>
      </c>
      <c r="P283" s="476">
        <f t="shared" si="185"/>
        <v>87320.16</v>
      </c>
      <c r="Q283" s="476"/>
      <c r="R283" s="476">
        <f t="shared" si="195"/>
        <v>0</v>
      </c>
      <c r="S283" s="476">
        <f t="shared" si="186"/>
        <v>41.82</v>
      </c>
      <c r="T283" s="478">
        <f t="shared" si="200"/>
        <v>87320.16</v>
      </c>
      <c r="U283" t="s">
        <v>391</v>
      </c>
      <c r="V283" s="478">
        <f t="shared" si="201"/>
        <v>0</v>
      </c>
      <c r="W283" s="142">
        <f t="shared" si="187"/>
        <v>0</v>
      </c>
      <c r="X283" s="1076"/>
    </row>
    <row r="284" spans="1:24" x14ac:dyDescent="0.2">
      <c r="A284" t="s">
        <v>392</v>
      </c>
      <c r="B284" s="478">
        <f t="shared" si="196"/>
        <v>91350</v>
      </c>
      <c r="C284" s="478">
        <f t="shared" si="196"/>
        <v>3806.25</v>
      </c>
      <c r="D284" s="9">
        <v>45</v>
      </c>
      <c r="E284" s="10">
        <v>4</v>
      </c>
      <c r="F284" s="476">
        <f t="shared" si="182"/>
        <v>91350</v>
      </c>
      <c r="G284" s="476">
        <f t="shared" si="183"/>
        <v>3806.25</v>
      </c>
      <c r="H284">
        <f t="shared" si="197"/>
        <v>95672.16</v>
      </c>
      <c r="I284">
        <f t="shared" si="198"/>
        <v>3986.34</v>
      </c>
      <c r="L284" t="s">
        <v>392</v>
      </c>
      <c r="M284" s="143">
        <f t="shared" si="199"/>
        <v>43.75</v>
      </c>
      <c r="N284" s="476">
        <f t="shared" si="188"/>
        <v>0</v>
      </c>
      <c r="O284" s="142">
        <f t="shared" si="184"/>
        <v>43.75</v>
      </c>
      <c r="P284" s="476">
        <f t="shared" si="185"/>
        <v>91350</v>
      </c>
      <c r="Q284" s="476"/>
      <c r="R284" s="476">
        <f t="shared" si="195"/>
        <v>0</v>
      </c>
      <c r="S284" s="476">
        <f t="shared" si="186"/>
        <v>43.75</v>
      </c>
      <c r="T284" s="478">
        <f t="shared" si="200"/>
        <v>91350</v>
      </c>
      <c r="U284" t="s">
        <v>392</v>
      </c>
      <c r="V284" s="478">
        <f t="shared" si="201"/>
        <v>0</v>
      </c>
      <c r="W284" s="142">
        <f t="shared" si="187"/>
        <v>0</v>
      </c>
      <c r="X284" s="1076"/>
    </row>
    <row r="285" spans="1:24" x14ac:dyDescent="0.2">
      <c r="A285" t="s">
        <v>393</v>
      </c>
      <c r="B285" s="478">
        <f t="shared" si="196"/>
        <v>95672.16</v>
      </c>
      <c r="C285" s="478">
        <f t="shared" si="196"/>
        <v>3986.34</v>
      </c>
      <c r="D285" s="9">
        <v>45</v>
      </c>
      <c r="E285" s="10">
        <v>5</v>
      </c>
      <c r="F285" s="476">
        <f t="shared" si="182"/>
        <v>95672.16</v>
      </c>
      <c r="G285" s="476">
        <f t="shared" si="183"/>
        <v>3986.34</v>
      </c>
      <c r="H285">
        <f t="shared" si="197"/>
        <v>100161.36</v>
      </c>
      <c r="I285">
        <f t="shared" si="198"/>
        <v>4173.3900000000003</v>
      </c>
      <c r="L285" t="s">
        <v>393</v>
      </c>
      <c r="M285" s="143">
        <f t="shared" si="199"/>
        <v>45.82</v>
      </c>
      <c r="N285" s="476">
        <f t="shared" si="188"/>
        <v>0</v>
      </c>
      <c r="O285" s="142">
        <f t="shared" si="184"/>
        <v>45.82</v>
      </c>
      <c r="P285" s="476">
        <f t="shared" si="185"/>
        <v>95672.16</v>
      </c>
      <c r="Q285" s="476"/>
      <c r="R285" s="476">
        <f t="shared" si="195"/>
        <v>0</v>
      </c>
      <c r="S285" s="476">
        <f t="shared" si="186"/>
        <v>45.82</v>
      </c>
      <c r="T285" s="478">
        <f t="shared" si="200"/>
        <v>95672.16</v>
      </c>
      <c r="U285" t="s">
        <v>393</v>
      </c>
      <c r="V285" s="478">
        <f t="shared" si="201"/>
        <v>0</v>
      </c>
      <c r="W285" s="142">
        <f t="shared" si="187"/>
        <v>0</v>
      </c>
      <c r="X285" s="1076"/>
    </row>
    <row r="286" spans="1:24" x14ac:dyDescent="0.2">
      <c r="A286" t="s">
        <v>394</v>
      </c>
      <c r="B286" s="478">
        <f t="shared" si="196"/>
        <v>100161.36</v>
      </c>
      <c r="C286" s="478">
        <f t="shared" si="196"/>
        <v>4173.3900000000003</v>
      </c>
      <c r="D286" s="9">
        <v>45</v>
      </c>
      <c r="E286" s="10">
        <v>6</v>
      </c>
      <c r="F286" s="476">
        <f t="shared" si="182"/>
        <v>100161.36</v>
      </c>
      <c r="G286" s="476">
        <f t="shared" si="183"/>
        <v>4173.3900000000003</v>
      </c>
      <c r="H286">
        <f t="shared" si="197"/>
        <v>104901.12000000001</v>
      </c>
      <c r="I286">
        <f t="shared" si="198"/>
        <v>4370.88</v>
      </c>
      <c r="L286" t="s">
        <v>394</v>
      </c>
      <c r="M286" s="143">
        <f t="shared" si="199"/>
        <v>47.97</v>
      </c>
      <c r="N286" s="476">
        <f t="shared" si="188"/>
        <v>0</v>
      </c>
      <c r="O286" s="142">
        <f t="shared" si="184"/>
        <v>47.97</v>
      </c>
      <c r="P286" s="476">
        <f t="shared" si="185"/>
        <v>100161.36</v>
      </c>
      <c r="Q286" s="476"/>
      <c r="R286" s="476">
        <f t="shared" si="195"/>
        <v>0</v>
      </c>
      <c r="S286" s="476">
        <f t="shared" si="186"/>
        <v>47.97</v>
      </c>
      <c r="T286" s="478">
        <f t="shared" si="200"/>
        <v>100182.24</v>
      </c>
      <c r="U286" t="s">
        <v>394</v>
      </c>
      <c r="V286" s="478">
        <f t="shared" si="201"/>
        <v>20.88</v>
      </c>
      <c r="W286" s="142">
        <f t="shared" si="187"/>
        <v>20.880000000004657</v>
      </c>
      <c r="X286" s="1076"/>
    </row>
    <row r="287" spans="1:24" x14ac:dyDescent="0.2">
      <c r="A287" t="s">
        <v>395</v>
      </c>
      <c r="B287" s="478">
        <f t="shared" si="196"/>
        <v>104901.12000000001</v>
      </c>
      <c r="C287" s="478">
        <f t="shared" si="196"/>
        <v>4370.88</v>
      </c>
      <c r="D287" s="9">
        <v>45</v>
      </c>
      <c r="E287" s="10">
        <v>7</v>
      </c>
      <c r="F287" s="476">
        <f t="shared" si="182"/>
        <v>104901.12000000001</v>
      </c>
      <c r="G287" s="476">
        <f t="shared" si="183"/>
        <v>4370.88</v>
      </c>
      <c r="H287">
        <f t="shared" si="197"/>
        <v>109849.68</v>
      </c>
      <c r="I287">
        <f t="shared" si="198"/>
        <v>4577.07</v>
      </c>
      <c r="L287" t="s">
        <v>395</v>
      </c>
      <c r="M287" s="143">
        <f t="shared" si="199"/>
        <v>50.24</v>
      </c>
      <c r="N287" s="476">
        <f t="shared" si="188"/>
        <v>0</v>
      </c>
      <c r="O287" s="142">
        <f t="shared" si="184"/>
        <v>50.24</v>
      </c>
      <c r="P287" s="476">
        <f t="shared" si="185"/>
        <v>104901.12000000001</v>
      </c>
      <c r="Q287" s="476"/>
      <c r="R287" s="476">
        <f t="shared" si="195"/>
        <v>0</v>
      </c>
      <c r="S287" s="476">
        <f t="shared" si="186"/>
        <v>50.24</v>
      </c>
      <c r="T287" s="478">
        <f t="shared" si="200"/>
        <v>104901.12000000001</v>
      </c>
      <c r="U287" t="s">
        <v>395</v>
      </c>
      <c r="V287" s="478">
        <f t="shared" si="201"/>
        <v>0</v>
      </c>
      <c r="W287" s="142">
        <f t="shared" si="187"/>
        <v>0</v>
      </c>
      <c r="X287" s="1076"/>
    </row>
    <row r="288" spans="1:24" x14ac:dyDescent="0.2">
      <c r="A288" t="s">
        <v>396</v>
      </c>
      <c r="B288" s="478">
        <f t="shared" si="196"/>
        <v>109849.68</v>
      </c>
      <c r="C288" s="478">
        <f t="shared" si="196"/>
        <v>4577.07</v>
      </c>
      <c r="D288" s="9">
        <v>45</v>
      </c>
      <c r="E288" s="10">
        <v>8</v>
      </c>
      <c r="F288" s="476">
        <f t="shared" si="182"/>
        <v>109849.68</v>
      </c>
      <c r="G288" s="476">
        <f t="shared" si="183"/>
        <v>4577.07</v>
      </c>
      <c r="H288">
        <f t="shared" si="197"/>
        <v>115090.56</v>
      </c>
      <c r="I288">
        <f t="shared" si="198"/>
        <v>4795.4399999999996</v>
      </c>
      <c r="L288" t="s">
        <v>396</v>
      </c>
      <c r="M288" s="143">
        <f t="shared" si="199"/>
        <v>52.61</v>
      </c>
      <c r="N288" s="476">
        <f t="shared" si="188"/>
        <v>0</v>
      </c>
      <c r="O288" s="142">
        <f t="shared" si="184"/>
        <v>52.61</v>
      </c>
      <c r="P288" s="476">
        <f t="shared" si="185"/>
        <v>109849.68</v>
      </c>
      <c r="Q288" s="476"/>
      <c r="R288" s="476">
        <f t="shared" si="195"/>
        <v>0</v>
      </c>
      <c r="S288" s="476">
        <f t="shared" si="186"/>
        <v>52.61</v>
      </c>
      <c r="T288" s="478">
        <f t="shared" si="200"/>
        <v>109849.68</v>
      </c>
      <c r="U288" t="s">
        <v>396</v>
      </c>
      <c r="V288" s="478">
        <f t="shared" si="201"/>
        <v>0</v>
      </c>
      <c r="W288" s="142">
        <f t="shared" si="187"/>
        <v>0</v>
      </c>
      <c r="X288" s="1076"/>
    </row>
    <row r="289" spans="1:24" x14ac:dyDescent="0.2">
      <c r="A289" t="s">
        <v>397</v>
      </c>
      <c r="B289" s="478">
        <f t="shared" si="196"/>
        <v>115090.56</v>
      </c>
      <c r="C289" s="478">
        <f t="shared" si="196"/>
        <v>4795.4399999999996</v>
      </c>
      <c r="D289" s="9">
        <v>45</v>
      </c>
      <c r="E289" s="10">
        <v>9</v>
      </c>
      <c r="F289" s="476">
        <f t="shared" si="182"/>
        <v>115090.56</v>
      </c>
      <c r="G289" s="476">
        <f t="shared" si="183"/>
        <v>4795.4399999999996</v>
      </c>
      <c r="H289">
        <f t="shared" si="197"/>
        <v>120582</v>
      </c>
      <c r="I289">
        <f t="shared" si="198"/>
        <v>5024.25</v>
      </c>
      <c r="L289" t="s">
        <v>397</v>
      </c>
      <c r="M289" s="143">
        <f t="shared" si="199"/>
        <v>55.12</v>
      </c>
      <c r="N289" s="476">
        <f t="shared" si="188"/>
        <v>0</v>
      </c>
      <c r="O289" s="142">
        <f t="shared" si="184"/>
        <v>55.12</v>
      </c>
      <c r="P289" s="476">
        <f t="shared" si="185"/>
        <v>115090.56</v>
      </c>
      <c r="Q289" s="476"/>
      <c r="R289" s="476">
        <f t="shared" si="195"/>
        <v>0</v>
      </c>
      <c r="S289" s="476">
        <f t="shared" si="186"/>
        <v>55.12</v>
      </c>
      <c r="T289" s="478">
        <f t="shared" si="200"/>
        <v>115090.56</v>
      </c>
      <c r="U289" t="s">
        <v>397</v>
      </c>
      <c r="V289" s="478">
        <f t="shared" si="201"/>
        <v>0</v>
      </c>
      <c r="W289" s="142">
        <f t="shared" si="187"/>
        <v>0</v>
      </c>
      <c r="X289" s="1076"/>
    </row>
    <row r="290" spans="1:24" x14ac:dyDescent="0.2">
      <c r="A290" t="s">
        <v>398</v>
      </c>
      <c r="B290" s="477">
        <f>P290</f>
        <v>120582</v>
      </c>
      <c r="C290" s="477">
        <f>B290/24</f>
        <v>5024.25</v>
      </c>
      <c r="D290" s="9">
        <v>45</v>
      </c>
      <c r="E290" s="10">
        <v>10</v>
      </c>
      <c r="F290" s="476">
        <f t="shared" si="182"/>
        <v>120582</v>
      </c>
      <c r="G290" s="476">
        <f t="shared" si="183"/>
        <v>5024.25</v>
      </c>
      <c r="H290">
        <f>F290</f>
        <v>120582</v>
      </c>
      <c r="I290">
        <f>G290</f>
        <v>5024.25</v>
      </c>
      <c r="L290" t="s">
        <v>398</v>
      </c>
      <c r="M290" s="612">
        <v>57.75</v>
      </c>
      <c r="N290" s="476">
        <f t="shared" si="188"/>
        <v>0</v>
      </c>
      <c r="O290" s="142">
        <f t="shared" si="184"/>
        <v>57.75</v>
      </c>
      <c r="P290" s="476">
        <f t="shared" si="185"/>
        <v>120582</v>
      </c>
      <c r="Q290" s="476"/>
      <c r="R290" s="476">
        <f t="shared" si="195"/>
        <v>0</v>
      </c>
      <c r="S290" s="476">
        <f t="shared" si="186"/>
        <v>57.75</v>
      </c>
      <c r="T290" s="477">
        <f>S290*$T$9</f>
        <v>120582</v>
      </c>
      <c r="U290" t="s">
        <v>398</v>
      </c>
      <c r="V290" s="142">
        <f>R290*2088</f>
        <v>0</v>
      </c>
      <c r="W290" s="142">
        <f t="shared" si="187"/>
        <v>0</v>
      </c>
      <c r="X290" s="1076"/>
    </row>
    <row r="291" spans="1:24" x14ac:dyDescent="0.2">
      <c r="A291" t="s">
        <v>399</v>
      </c>
      <c r="B291" s="478">
        <f t="shared" ref="B291:C299" si="202">B282</f>
        <v>83394.720000000001</v>
      </c>
      <c r="C291" s="478">
        <f t="shared" si="202"/>
        <v>3474.78</v>
      </c>
      <c r="D291" s="9">
        <v>46</v>
      </c>
      <c r="E291" s="10" t="s">
        <v>23</v>
      </c>
      <c r="F291" s="476">
        <f t="shared" si="182"/>
        <v>83394.720000000001</v>
      </c>
      <c r="G291" s="476">
        <f t="shared" si="183"/>
        <v>3474.78</v>
      </c>
      <c r="H291">
        <f t="shared" ref="H291:H299" si="203">F292</f>
        <v>87320.16</v>
      </c>
      <c r="I291">
        <f t="shared" ref="I291:I299" si="204">G292</f>
        <v>3638.34</v>
      </c>
      <c r="L291" t="s">
        <v>399</v>
      </c>
      <c r="M291" s="143">
        <f t="shared" ref="M291:M299" si="205">M282</f>
        <v>39.94</v>
      </c>
      <c r="N291" s="476">
        <f t="shared" si="188"/>
        <v>0</v>
      </c>
      <c r="O291" s="142">
        <f t="shared" si="184"/>
        <v>39.94</v>
      </c>
      <c r="P291" s="476">
        <f t="shared" si="185"/>
        <v>83394.720000000001</v>
      </c>
      <c r="Q291" s="476"/>
      <c r="R291" s="476">
        <f t="shared" si="195"/>
        <v>0</v>
      </c>
      <c r="S291" s="476">
        <f t="shared" si="186"/>
        <v>39.94</v>
      </c>
      <c r="T291" s="478">
        <f t="shared" ref="T291:T299" si="206">T282</f>
        <v>83394.720000000001</v>
      </c>
      <c r="U291" t="s">
        <v>399</v>
      </c>
      <c r="V291" s="478">
        <f t="shared" ref="V291:V299" si="207">V282</f>
        <v>0</v>
      </c>
      <c r="W291" s="142">
        <f t="shared" si="187"/>
        <v>0</v>
      </c>
      <c r="X291" s="1076"/>
    </row>
    <row r="292" spans="1:24" x14ac:dyDescent="0.2">
      <c r="A292" t="s">
        <v>400</v>
      </c>
      <c r="B292" s="478">
        <f t="shared" si="202"/>
        <v>87320.16</v>
      </c>
      <c r="C292" s="478">
        <f t="shared" si="202"/>
        <v>3638.34</v>
      </c>
      <c r="D292" s="9">
        <v>46</v>
      </c>
      <c r="E292" s="10">
        <v>2</v>
      </c>
      <c r="F292" s="476">
        <f t="shared" si="182"/>
        <v>87320.16</v>
      </c>
      <c r="G292" s="476">
        <f t="shared" si="183"/>
        <v>3638.34</v>
      </c>
      <c r="H292">
        <f t="shared" si="203"/>
        <v>91350</v>
      </c>
      <c r="I292">
        <f t="shared" si="204"/>
        <v>3806.25</v>
      </c>
      <c r="L292" t="s">
        <v>400</v>
      </c>
      <c r="M292" s="143">
        <f t="shared" si="205"/>
        <v>41.82</v>
      </c>
      <c r="N292" s="476">
        <f t="shared" si="188"/>
        <v>0</v>
      </c>
      <c r="O292" s="142">
        <f t="shared" si="184"/>
        <v>41.82</v>
      </c>
      <c r="P292" s="476">
        <f t="shared" si="185"/>
        <v>87320.16</v>
      </c>
      <c r="Q292" s="476"/>
      <c r="R292" s="476">
        <f t="shared" si="195"/>
        <v>0</v>
      </c>
      <c r="S292" s="476">
        <f t="shared" si="186"/>
        <v>41.82</v>
      </c>
      <c r="T292" s="478">
        <f t="shared" si="206"/>
        <v>87320.16</v>
      </c>
      <c r="U292" t="s">
        <v>400</v>
      </c>
      <c r="V292" s="478">
        <f t="shared" si="207"/>
        <v>0</v>
      </c>
      <c r="W292" s="142">
        <f t="shared" si="187"/>
        <v>0</v>
      </c>
      <c r="X292" s="1076"/>
    </row>
    <row r="293" spans="1:24" x14ac:dyDescent="0.2">
      <c r="A293" t="s">
        <v>401</v>
      </c>
      <c r="B293" s="478">
        <f t="shared" si="202"/>
        <v>91350</v>
      </c>
      <c r="C293" s="478">
        <f t="shared" si="202"/>
        <v>3806.25</v>
      </c>
      <c r="D293" s="9">
        <v>46</v>
      </c>
      <c r="E293" s="10">
        <v>3</v>
      </c>
      <c r="F293" s="476">
        <f t="shared" si="182"/>
        <v>91350</v>
      </c>
      <c r="G293" s="476">
        <f t="shared" si="183"/>
        <v>3806.25</v>
      </c>
      <c r="H293">
        <f t="shared" si="203"/>
        <v>95672.16</v>
      </c>
      <c r="I293">
        <f t="shared" si="204"/>
        <v>3986.34</v>
      </c>
      <c r="L293" t="s">
        <v>401</v>
      </c>
      <c r="M293" s="143">
        <f t="shared" si="205"/>
        <v>43.75</v>
      </c>
      <c r="N293" s="476">
        <f t="shared" si="188"/>
        <v>0</v>
      </c>
      <c r="O293" s="142">
        <f t="shared" si="184"/>
        <v>43.75</v>
      </c>
      <c r="P293" s="476">
        <f t="shared" si="185"/>
        <v>91350</v>
      </c>
      <c r="Q293" s="476"/>
      <c r="R293" s="476">
        <f t="shared" si="195"/>
        <v>0</v>
      </c>
      <c r="S293" s="476">
        <f t="shared" si="186"/>
        <v>43.75</v>
      </c>
      <c r="T293" s="478">
        <f t="shared" si="206"/>
        <v>91350</v>
      </c>
      <c r="U293" t="s">
        <v>401</v>
      </c>
      <c r="V293" s="478">
        <f t="shared" si="207"/>
        <v>0</v>
      </c>
      <c r="W293" s="142">
        <f t="shared" si="187"/>
        <v>0</v>
      </c>
      <c r="X293" s="1076"/>
    </row>
    <row r="294" spans="1:24" x14ac:dyDescent="0.2">
      <c r="A294" t="s">
        <v>402</v>
      </c>
      <c r="B294" s="478">
        <f t="shared" si="202"/>
        <v>95672.16</v>
      </c>
      <c r="C294" s="478">
        <f t="shared" si="202"/>
        <v>3986.34</v>
      </c>
      <c r="D294" s="9">
        <v>46</v>
      </c>
      <c r="E294" s="10">
        <v>4</v>
      </c>
      <c r="F294" s="476">
        <f t="shared" si="182"/>
        <v>95672.16</v>
      </c>
      <c r="G294" s="476">
        <f t="shared" si="183"/>
        <v>3986.34</v>
      </c>
      <c r="H294">
        <f t="shared" si="203"/>
        <v>100161.36</v>
      </c>
      <c r="I294">
        <f t="shared" si="204"/>
        <v>4173.3900000000003</v>
      </c>
      <c r="L294" t="s">
        <v>402</v>
      </c>
      <c r="M294" s="143">
        <f t="shared" si="205"/>
        <v>45.82</v>
      </c>
      <c r="N294" s="476">
        <f t="shared" si="188"/>
        <v>0</v>
      </c>
      <c r="O294" s="142">
        <f t="shared" si="184"/>
        <v>45.82</v>
      </c>
      <c r="P294" s="476">
        <f t="shared" si="185"/>
        <v>95672.16</v>
      </c>
      <c r="Q294" s="476"/>
      <c r="R294" s="476">
        <f t="shared" si="195"/>
        <v>0</v>
      </c>
      <c r="S294" s="476">
        <f t="shared" si="186"/>
        <v>45.82</v>
      </c>
      <c r="T294" s="478">
        <f t="shared" si="206"/>
        <v>95672.16</v>
      </c>
      <c r="U294" t="s">
        <v>402</v>
      </c>
      <c r="V294" s="478">
        <f t="shared" si="207"/>
        <v>0</v>
      </c>
      <c r="W294" s="142">
        <f t="shared" si="187"/>
        <v>0</v>
      </c>
      <c r="X294" s="1076"/>
    </row>
    <row r="295" spans="1:24" x14ac:dyDescent="0.2">
      <c r="A295" t="s">
        <v>403</v>
      </c>
      <c r="B295" s="478">
        <f t="shared" si="202"/>
        <v>100161.36</v>
      </c>
      <c r="C295" s="478">
        <f t="shared" si="202"/>
        <v>4173.3900000000003</v>
      </c>
      <c r="D295" s="9">
        <v>46</v>
      </c>
      <c r="E295" s="10">
        <v>5</v>
      </c>
      <c r="F295" s="476">
        <f t="shared" si="182"/>
        <v>100161.36</v>
      </c>
      <c r="G295" s="476">
        <f t="shared" si="183"/>
        <v>4173.3900000000003</v>
      </c>
      <c r="H295">
        <f t="shared" si="203"/>
        <v>104901.12000000001</v>
      </c>
      <c r="I295">
        <f t="shared" si="204"/>
        <v>4370.88</v>
      </c>
      <c r="L295" t="s">
        <v>403</v>
      </c>
      <c r="M295" s="143">
        <f t="shared" si="205"/>
        <v>47.97</v>
      </c>
      <c r="N295" s="476">
        <f t="shared" si="188"/>
        <v>0</v>
      </c>
      <c r="O295" s="142">
        <f t="shared" si="184"/>
        <v>47.97</v>
      </c>
      <c r="P295" s="476">
        <f t="shared" si="185"/>
        <v>100161.36</v>
      </c>
      <c r="Q295" s="476"/>
      <c r="R295" s="476">
        <f t="shared" si="195"/>
        <v>0</v>
      </c>
      <c r="S295" s="476">
        <f t="shared" si="186"/>
        <v>47.97</v>
      </c>
      <c r="T295" s="478">
        <f t="shared" si="206"/>
        <v>100182.24</v>
      </c>
      <c r="U295" t="s">
        <v>403</v>
      </c>
      <c r="V295" s="478">
        <f t="shared" si="207"/>
        <v>20.88</v>
      </c>
      <c r="W295" s="142">
        <f t="shared" si="187"/>
        <v>20.880000000004657</v>
      </c>
      <c r="X295" s="1076"/>
    </row>
    <row r="296" spans="1:24" x14ac:dyDescent="0.2">
      <c r="A296" t="s">
        <v>404</v>
      </c>
      <c r="B296" s="478">
        <f t="shared" si="202"/>
        <v>104901.12000000001</v>
      </c>
      <c r="C296" s="478">
        <f t="shared" si="202"/>
        <v>4370.88</v>
      </c>
      <c r="D296" s="9">
        <v>46</v>
      </c>
      <c r="E296" s="10">
        <v>6</v>
      </c>
      <c r="F296" s="476">
        <f t="shared" si="182"/>
        <v>104901.12000000001</v>
      </c>
      <c r="G296" s="476">
        <f t="shared" si="183"/>
        <v>4370.88</v>
      </c>
      <c r="H296">
        <f t="shared" si="203"/>
        <v>109849.68</v>
      </c>
      <c r="I296">
        <f t="shared" si="204"/>
        <v>4577.07</v>
      </c>
      <c r="L296" t="s">
        <v>404</v>
      </c>
      <c r="M296" s="143">
        <f t="shared" si="205"/>
        <v>50.24</v>
      </c>
      <c r="N296" s="476">
        <f t="shared" si="188"/>
        <v>0</v>
      </c>
      <c r="O296" s="142">
        <f t="shared" si="184"/>
        <v>50.24</v>
      </c>
      <c r="P296" s="476">
        <f t="shared" si="185"/>
        <v>104901.12000000001</v>
      </c>
      <c r="Q296" s="476"/>
      <c r="R296" s="476">
        <f t="shared" si="195"/>
        <v>0</v>
      </c>
      <c r="S296" s="476">
        <f t="shared" si="186"/>
        <v>50.24</v>
      </c>
      <c r="T296" s="478">
        <f t="shared" si="206"/>
        <v>104901.12000000001</v>
      </c>
      <c r="U296" t="s">
        <v>404</v>
      </c>
      <c r="V296" s="478">
        <f t="shared" si="207"/>
        <v>0</v>
      </c>
      <c r="W296" s="142">
        <f t="shared" si="187"/>
        <v>0</v>
      </c>
      <c r="X296" s="1076"/>
    </row>
    <row r="297" spans="1:24" x14ac:dyDescent="0.2">
      <c r="A297" t="s">
        <v>405</v>
      </c>
      <c r="B297" s="478">
        <f t="shared" si="202"/>
        <v>109849.68</v>
      </c>
      <c r="C297" s="478">
        <f t="shared" si="202"/>
        <v>4577.07</v>
      </c>
      <c r="D297" s="9">
        <v>46</v>
      </c>
      <c r="E297" s="10">
        <v>7</v>
      </c>
      <c r="F297" s="476">
        <f t="shared" si="182"/>
        <v>109849.68</v>
      </c>
      <c r="G297" s="476">
        <f t="shared" si="183"/>
        <v>4577.07</v>
      </c>
      <c r="H297">
        <f t="shared" si="203"/>
        <v>115090.56</v>
      </c>
      <c r="I297">
        <f t="shared" si="204"/>
        <v>4795.4399999999996</v>
      </c>
      <c r="L297" t="s">
        <v>405</v>
      </c>
      <c r="M297" s="143">
        <f t="shared" si="205"/>
        <v>52.61</v>
      </c>
      <c r="N297" s="476">
        <f t="shared" si="188"/>
        <v>0</v>
      </c>
      <c r="O297" s="142">
        <f t="shared" si="184"/>
        <v>52.61</v>
      </c>
      <c r="P297" s="476">
        <f t="shared" si="185"/>
        <v>109849.68</v>
      </c>
      <c r="Q297" s="476"/>
      <c r="R297" s="476">
        <f t="shared" si="195"/>
        <v>0</v>
      </c>
      <c r="S297" s="476">
        <f t="shared" si="186"/>
        <v>52.61</v>
      </c>
      <c r="T297" s="478">
        <f t="shared" si="206"/>
        <v>109849.68</v>
      </c>
      <c r="U297" t="s">
        <v>405</v>
      </c>
      <c r="V297" s="478">
        <f t="shared" si="207"/>
        <v>0</v>
      </c>
      <c r="W297" s="142">
        <f t="shared" si="187"/>
        <v>0</v>
      </c>
      <c r="X297" s="1076"/>
    </row>
    <row r="298" spans="1:24" x14ac:dyDescent="0.2">
      <c r="A298" t="s">
        <v>406</v>
      </c>
      <c r="B298" s="478">
        <f t="shared" si="202"/>
        <v>115090.56</v>
      </c>
      <c r="C298" s="478">
        <f t="shared" si="202"/>
        <v>4795.4399999999996</v>
      </c>
      <c r="D298" s="9">
        <v>46</v>
      </c>
      <c r="E298" s="10">
        <v>8</v>
      </c>
      <c r="F298" s="476">
        <f t="shared" si="182"/>
        <v>115090.56</v>
      </c>
      <c r="G298" s="476">
        <f t="shared" si="183"/>
        <v>4795.4399999999996</v>
      </c>
      <c r="H298">
        <f t="shared" si="203"/>
        <v>120582</v>
      </c>
      <c r="I298">
        <f t="shared" si="204"/>
        <v>5024.25</v>
      </c>
      <c r="L298" t="s">
        <v>406</v>
      </c>
      <c r="M298" s="143">
        <f t="shared" si="205"/>
        <v>55.12</v>
      </c>
      <c r="N298" s="476">
        <f t="shared" si="188"/>
        <v>0</v>
      </c>
      <c r="O298" s="142">
        <f t="shared" si="184"/>
        <v>55.12</v>
      </c>
      <c r="P298" s="476">
        <f t="shared" si="185"/>
        <v>115090.56</v>
      </c>
      <c r="Q298" s="476"/>
      <c r="R298" s="476">
        <f t="shared" si="195"/>
        <v>0</v>
      </c>
      <c r="S298" s="476">
        <f t="shared" si="186"/>
        <v>55.12</v>
      </c>
      <c r="T298" s="478">
        <f t="shared" si="206"/>
        <v>115090.56</v>
      </c>
      <c r="U298" t="s">
        <v>406</v>
      </c>
      <c r="V298" s="478">
        <f t="shared" si="207"/>
        <v>0</v>
      </c>
      <c r="W298" s="142">
        <f t="shared" si="187"/>
        <v>0</v>
      </c>
      <c r="X298" s="1076"/>
    </row>
    <row r="299" spans="1:24" x14ac:dyDescent="0.2">
      <c r="A299" t="s">
        <v>407</v>
      </c>
      <c r="B299" s="478">
        <f t="shared" si="202"/>
        <v>120582</v>
      </c>
      <c r="C299" s="478">
        <f t="shared" si="202"/>
        <v>5024.25</v>
      </c>
      <c r="D299" s="9">
        <v>46</v>
      </c>
      <c r="E299" s="10">
        <v>9</v>
      </c>
      <c r="F299" s="476">
        <f t="shared" si="182"/>
        <v>120582</v>
      </c>
      <c r="G299" s="476">
        <f t="shared" si="183"/>
        <v>5024.25</v>
      </c>
      <c r="H299">
        <f t="shared" si="203"/>
        <v>126386.64</v>
      </c>
      <c r="I299">
        <f t="shared" si="204"/>
        <v>5266.11</v>
      </c>
      <c r="L299" t="s">
        <v>407</v>
      </c>
      <c r="M299" s="143">
        <f t="shared" si="205"/>
        <v>57.75</v>
      </c>
      <c r="N299" s="476">
        <f t="shared" si="188"/>
        <v>0</v>
      </c>
      <c r="O299" s="142">
        <f t="shared" si="184"/>
        <v>57.75</v>
      </c>
      <c r="P299" s="476">
        <f t="shared" si="185"/>
        <v>120582</v>
      </c>
      <c r="Q299" s="476"/>
      <c r="R299" s="476">
        <f t="shared" si="195"/>
        <v>0</v>
      </c>
      <c r="S299" s="476">
        <f t="shared" si="186"/>
        <v>57.75</v>
      </c>
      <c r="T299" s="478">
        <f t="shared" si="206"/>
        <v>120582</v>
      </c>
      <c r="U299" t="s">
        <v>407</v>
      </c>
      <c r="V299" s="478">
        <f t="shared" si="207"/>
        <v>0</v>
      </c>
      <c r="W299" s="142">
        <f t="shared" si="187"/>
        <v>0</v>
      </c>
      <c r="X299" s="1076"/>
    </row>
    <row r="300" spans="1:24" x14ac:dyDescent="0.2">
      <c r="A300" t="s">
        <v>408</v>
      </c>
      <c r="B300" s="477">
        <f>P300</f>
        <v>126386.64</v>
      </c>
      <c r="C300" s="477">
        <f>B300/24</f>
        <v>5266.11</v>
      </c>
      <c r="D300" s="9">
        <v>46</v>
      </c>
      <c r="E300" s="10">
        <v>10</v>
      </c>
      <c r="F300" s="476">
        <f t="shared" si="182"/>
        <v>126386.64</v>
      </c>
      <c r="G300" s="476">
        <f t="shared" si="183"/>
        <v>5266.11</v>
      </c>
      <c r="H300">
        <f>F300</f>
        <v>126386.64</v>
      </c>
      <c r="I300">
        <f>G300</f>
        <v>5266.11</v>
      </c>
      <c r="L300" t="s">
        <v>408</v>
      </c>
      <c r="M300" s="612">
        <v>60.53</v>
      </c>
      <c r="N300" s="476">
        <f t="shared" si="188"/>
        <v>0</v>
      </c>
      <c r="O300" s="142">
        <f t="shared" si="184"/>
        <v>60.53</v>
      </c>
      <c r="P300" s="476">
        <f t="shared" si="185"/>
        <v>126386.64</v>
      </c>
      <c r="Q300" s="476"/>
      <c r="R300" s="476">
        <f t="shared" si="195"/>
        <v>0</v>
      </c>
      <c r="S300" s="476">
        <f t="shared" si="186"/>
        <v>60.53</v>
      </c>
      <c r="T300" s="477">
        <f>S300*$T$9</f>
        <v>126386.64</v>
      </c>
      <c r="U300" t="s">
        <v>408</v>
      </c>
      <c r="V300" s="142">
        <f>R300*2088</f>
        <v>0</v>
      </c>
      <c r="W300" s="142">
        <f t="shared" si="187"/>
        <v>0</v>
      </c>
      <c r="X300" s="1076"/>
    </row>
    <row r="301" spans="1:24" x14ac:dyDescent="0.2">
      <c r="A301" t="s">
        <v>409</v>
      </c>
      <c r="B301" s="478">
        <f t="shared" ref="B301:C309" si="208">B292</f>
        <v>87320.16</v>
      </c>
      <c r="C301" s="478">
        <f t="shared" si="208"/>
        <v>3638.34</v>
      </c>
      <c r="D301" s="9">
        <v>47</v>
      </c>
      <c r="E301" s="10" t="s">
        <v>23</v>
      </c>
      <c r="F301" s="476">
        <f t="shared" si="182"/>
        <v>87320.16</v>
      </c>
      <c r="G301" s="476">
        <f t="shared" si="183"/>
        <v>3638.34</v>
      </c>
      <c r="H301">
        <f t="shared" ref="H301:H309" si="209">F302</f>
        <v>91350</v>
      </c>
      <c r="I301">
        <f t="shared" ref="I301:I309" si="210">G302</f>
        <v>3806.25</v>
      </c>
      <c r="L301" t="s">
        <v>409</v>
      </c>
      <c r="M301" s="143">
        <f t="shared" ref="M301:M309" si="211">M292</f>
        <v>41.82</v>
      </c>
      <c r="N301" s="476">
        <f t="shared" si="188"/>
        <v>0</v>
      </c>
      <c r="O301" s="142">
        <f t="shared" si="184"/>
        <v>41.82</v>
      </c>
      <c r="P301" s="476">
        <f t="shared" si="185"/>
        <v>87320.16</v>
      </c>
      <c r="Q301" s="476"/>
      <c r="R301" s="476">
        <f t="shared" si="195"/>
        <v>0</v>
      </c>
      <c r="S301" s="476">
        <f t="shared" si="186"/>
        <v>41.82</v>
      </c>
      <c r="T301" s="478">
        <f t="shared" ref="T301:T309" si="212">T292</f>
        <v>87320.16</v>
      </c>
      <c r="U301" t="s">
        <v>409</v>
      </c>
      <c r="V301" s="478">
        <f t="shared" ref="V301:V309" si="213">V292</f>
        <v>0</v>
      </c>
      <c r="W301" s="142">
        <f t="shared" si="187"/>
        <v>0</v>
      </c>
      <c r="X301" s="1076"/>
    </row>
    <row r="302" spans="1:24" x14ac:dyDescent="0.2">
      <c r="A302" t="s">
        <v>410</v>
      </c>
      <c r="B302" s="478">
        <f t="shared" si="208"/>
        <v>91350</v>
      </c>
      <c r="C302" s="478">
        <f t="shared" si="208"/>
        <v>3806.25</v>
      </c>
      <c r="D302" s="9">
        <v>47</v>
      </c>
      <c r="E302" s="10">
        <v>2</v>
      </c>
      <c r="F302" s="476">
        <f t="shared" si="182"/>
        <v>91350</v>
      </c>
      <c r="G302" s="476">
        <f t="shared" si="183"/>
        <v>3806.25</v>
      </c>
      <c r="H302">
        <f t="shared" si="209"/>
        <v>95672.16</v>
      </c>
      <c r="I302">
        <f t="shared" si="210"/>
        <v>3986.34</v>
      </c>
      <c r="L302" t="s">
        <v>410</v>
      </c>
      <c r="M302" s="143">
        <f t="shared" si="211"/>
        <v>43.75</v>
      </c>
      <c r="N302" s="476">
        <f t="shared" si="188"/>
        <v>0</v>
      </c>
      <c r="O302" s="142">
        <f t="shared" si="184"/>
        <v>43.75</v>
      </c>
      <c r="P302" s="476">
        <f t="shared" si="185"/>
        <v>91350</v>
      </c>
      <c r="Q302" s="476"/>
      <c r="R302" s="476">
        <f t="shared" si="195"/>
        <v>0</v>
      </c>
      <c r="S302" s="476">
        <f t="shared" si="186"/>
        <v>43.75</v>
      </c>
      <c r="T302" s="478">
        <f t="shared" si="212"/>
        <v>91350</v>
      </c>
      <c r="U302" t="s">
        <v>410</v>
      </c>
      <c r="V302" s="478">
        <f t="shared" si="213"/>
        <v>0</v>
      </c>
      <c r="W302" s="142">
        <f t="shared" si="187"/>
        <v>0</v>
      </c>
      <c r="X302" s="1076"/>
    </row>
    <row r="303" spans="1:24" x14ac:dyDescent="0.2">
      <c r="A303" t="s">
        <v>411</v>
      </c>
      <c r="B303" s="478">
        <f t="shared" si="208"/>
        <v>95672.16</v>
      </c>
      <c r="C303" s="478">
        <f t="shared" si="208"/>
        <v>3986.34</v>
      </c>
      <c r="D303" s="9">
        <v>47</v>
      </c>
      <c r="E303" s="10">
        <v>3</v>
      </c>
      <c r="F303" s="476">
        <f t="shared" si="182"/>
        <v>95672.16</v>
      </c>
      <c r="G303" s="476">
        <f t="shared" si="183"/>
        <v>3986.34</v>
      </c>
      <c r="H303">
        <f t="shared" si="209"/>
        <v>100161.36</v>
      </c>
      <c r="I303">
        <f t="shared" si="210"/>
        <v>4173.3900000000003</v>
      </c>
      <c r="L303" t="s">
        <v>411</v>
      </c>
      <c r="M303" s="143">
        <f t="shared" si="211"/>
        <v>45.82</v>
      </c>
      <c r="N303" s="476">
        <f t="shared" si="188"/>
        <v>0</v>
      </c>
      <c r="O303" s="142">
        <f t="shared" si="184"/>
        <v>45.82</v>
      </c>
      <c r="P303" s="476">
        <f t="shared" si="185"/>
        <v>95672.16</v>
      </c>
      <c r="Q303" s="476"/>
      <c r="R303" s="476">
        <f t="shared" si="195"/>
        <v>0</v>
      </c>
      <c r="S303" s="476">
        <f t="shared" si="186"/>
        <v>45.82</v>
      </c>
      <c r="T303" s="478">
        <f t="shared" si="212"/>
        <v>95672.16</v>
      </c>
      <c r="U303" t="s">
        <v>411</v>
      </c>
      <c r="V303" s="478">
        <f t="shared" si="213"/>
        <v>0</v>
      </c>
      <c r="W303" s="142">
        <f t="shared" si="187"/>
        <v>0</v>
      </c>
      <c r="X303" s="1076"/>
    </row>
    <row r="304" spans="1:24" x14ac:dyDescent="0.2">
      <c r="A304" t="s">
        <v>412</v>
      </c>
      <c r="B304" s="478">
        <f t="shared" si="208"/>
        <v>100161.36</v>
      </c>
      <c r="C304" s="478">
        <f t="shared" si="208"/>
        <v>4173.3900000000003</v>
      </c>
      <c r="D304" s="9">
        <v>47</v>
      </c>
      <c r="E304" s="10">
        <v>4</v>
      </c>
      <c r="F304" s="476">
        <f t="shared" si="182"/>
        <v>100161.36</v>
      </c>
      <c r="G304" s="476">
        <f t="shared" si="183"/>
        <v>4173.3900000000003</v>
      </c>
      <c r="H304">
        <f t="shared" si="209"/>
        <v>104901.12000000001</v>
      </c>
      <c r="I304">
        <f t="shared" si="210"/>
        <v>4370.88</v>
      </c>
      <c r="L304" t="s">
        <v>412</v>
      </c>
      <c r="M304" s="143">
        <f t="shared" si="211"/>
        <v>47.97</v>
      </c>
      <c r="N304" s="476">
        <f t="shared" si="188"/>
        <v>0</v>
      </c>
      <c r="O304" s="142">
        <f t="shared" si="184"/>
        <v>47.97</v>
      </c>
      <c r="P304" s="476">
        <f t="shared" si="185"/>
        <v>100161.36</v>
      </c>
      <c r="Q304" s="476"/>
      <c r="R304" s="476">
        <f t="shared" si="195"/>
        <v>0</v>
      </c>
      <c r="S304" s="476">
        <f t="shared" si="186"/>
        <v>47.97</v>
      </c>
      <c r="T304" s="478">
        <f t="shared" si="212"/>
        <v>100182.24</v>
      </c>
      <c r="U304" t="s">
        <v>412</v>
      </c>
      <c r="V304" s="478">
        <f t="shared" si="213"/>
        <v>20.88</v>
      </c>
      <c r="W304" s="142">
        <f t="shared" si="187"/>
        <v>20.880000000004657</v>
      </c>
      <c r="X304" s="1076"/>
    </row>
    <row r="305" spans="1:24" x14ac:dyDescent="0.2">
      <c r="A305" t="s">
        <v>413</v>
      </c>
      <c r="B305" s="478">
        <f t="shared" si="208"/>
        <v>104901.12000000001</v>
      </c>
      <c r="C305" s="478">
        <f t="shared" si="208"/>
        <v>4370.88</v>
      </c>
      <c r="D305" s="9">
        <v>47</v>
      </c>
      <c r="E305" s="10">
        <v>5</v>
      </c>
      <c r="F305" s="476">
        <f t="shared" si="182"/>
        <v>104901.12000000001</v>
      </c>
      <c r="G305" s="476">
        <f t="shared" si="183"/>
        <v>4370.88</v>
      </c>
      <c r="H305">
        <f t="shared" si="209"/>
        <v>109849.68</v>
      </c>
      <c r="I305">
        <f t="shared" si="210"/>
        <v>4577.07</v>
      </c>
      <c r="L305" t="s">
        <v>413</v>
      </c>
      <c r="M305" s="143">
        <f t="shared" si="211"/>
        <v>50.24</v>
      </c>
      <c r="N305" s="476">
        <f t="shared" si="188"/>
        <v>0</v>
      </c>
      <c r="O305" s="142">
        <f t="shared" si="184"/>
        <v>50.24</v>
      </c>
      <c r="P305" s="476">
        <f t="shared" si="185"/>
        <v>104901.12000000001</v>
      </c>
      <c r="Q305" s="476"/>
      <c r="R305" s="476">
        <f t="shared" si="195"/>
        <v>0</v>
      </c>
      <c r="S305" s="476">
        <f t="shared" si="186"/>
        <v>50.24</v>
      </c>
      <c r="T305" s="478">
        <f t="shared" si="212"/>
        <v>104901.12000000001</v>
      </c>
      <c r="U305" t="s">
        <v>413</v>
      </c>
      <c r="V305" s="478">
        <f t="shared" si="213"/>
        <v>0</v>
      </c>
      <c r="W305" s="142">
        <f t="shared" si="187"/>
        <v>0</v>
      </c>
      <c r="X305" s="1076"/>
    </row>
    <row r="306" spans="1:24" x14ac:dyDescent="0.2">
      <c r="A306" t="s">
        <v>414</v>
      </c>
      <c r="B306" s="478">
        <f t="shared" si="208"/>
        <v>109849.68</v>
      </c>
      <c r="C306" s="478">
        <f t="shared" si="208"/>
        <v>4577.07</v>
      </c>
      <c r="D306" s="9">
        <v>47</v>
      </c>
      <c r="E306" s="10">
        <v>6</v>
      </c>
      <c r="F306" s="476">
        <f t="shared" si="182"/>
        <v>109849.68</v>
      </c>
      <c r="G306" s="476">
        <f t="shared" si="183"/>
        <v>4577.07</v>
      </c>
      <c r="H306">
        <f t="shared" si="209"/>
        <v>115090.56</v>
      </c>
      <c r="I306">
        <f t="shared" si="210"/>
        <v>4795.4399999999996</v>
      </c>
      <c r="L306" t="s">
        <v>414</v>
      </c>
      <c r="M306" s="143">
        <f t="shared" si="211"/>
        <v>52.61</v>
      </c>
      <c r="N306" s="476">
        <f t="shared" si="188"/>
        <v>0</v>
      </c>
      <c r="O306" s="142">
        <f t="shared" si="184"/>
        <v>52.61</v>
      </c>
      <c r="P306" s="476">
        <f t="shared" si="185"/>
        <v>109849.68</v>
      </c>
      <c r="Q306" s="476"/>
      <c r="R306" s="476">
        <f t="shared" si="195"/>
        <v>0</v>
      </c>
      <c r="S306" s="476">
        <f t="shared" si="186"/>
        <v>52.61</v>
      </c>
      <c r="T306" s="478">
        <f t="shared" si="212"/>
        <v>109849.68</v>
      </c>
      <c r="U306" t="s">
        <v>414</v>
      </c>
      <c r="V306" s="478">
        <f t="shared" si="213"/>
        <v>0</v>
      </c>
      <c r="W306" s="142">
        <f t="shared" si="187"/>
        <v>0</v>
      </c>
      <c r="X306" s="1076"/>
    </row>
    <row r="307" spans="1:24" x14ac:dyDescent="0.2">
      <c r="A307" t="s">
        <v>415</v>
      </c>
      <c r="B307" s="478">
        <f t="shared" si="208"/>
        <v>115090.56</v>
      </c>
      <c r="C307" s="478">
        <f t="shared" si="208"/>
        <v>4795.4399999999996</v>
      </c>
      <c r="D307" s="9">
        <v>47</v>
      </c>
      <c r="E307" s="10">
        <v>7</v>
      </c>
      <c r="F307" s="476">
        <f t="shared" si="182"/>
        <v>115090.56</v>
      </c>
      <c r="G307" s="476">
        <f t="shared" si="183"/>
        <v>4795.4399999999996</v>
      </c>
      <c r="H307">
        <f t="shared" si="209"/>
        <v>120582</v>
      </c>
      <c r="I307">
        <f t="shared" si="210"/>
        <v>5024.25</v>
      </c>
      <c r="L307" t="s">
        <v>415</v>
      </c>
      <c r="M307" s="143">
        <f t="shared" si="211"/>
        <v>55.12</v>
      </c>
      <c r="N307" s="476">
        <f t="shared" si="188"/>
        <v>0</v>
      </c>
      <c r="O307" s="142">
        <f t="shared" si="184"/>
        <v>55.12</v>
      </c>
      <c r="P307" s="476">
        <f t="shared" si="185"/>
        <v>115090.56</v>
      </c>
      <c r="Q307" s="476"/>
      <c r="R307" s="476">
        <f t="shared" si="195"/>
        <v>0</v>
      </c>
      <c r="S307" s="476">
        <f t="shared" si="186"/>
        <v>55.12</v>
      </c>
      <c r="T307" s="478">
        <f t="shared" si="212"/>
        <v>115090.56</v>
      </c>
      <c r="U307" t="s">
        <v>415</v>
      </c>
      <c r="V307" s="478">
        <f t="shared" si="213"/>
        <v>0</v>
      </c>
      <c r="W307" s="142">
        <f t="shared" si="187"/>
        <v>0</v>
      </c>
      <c r="X307" s="1076"/>
    </row>
    <row r="308" spans="1:24" x14ac:dyDescent="0.2">
      <c r="A308" t="s">
        <v>416</v>
      </c>
      <c r="B308" s="478">
        <f t="shared" si="208"/>
        <v>120582</v>
      </c>
      <c r="C308" s="478">
        <f t="shared" si="208"/>
        <v>5024.25</v>
      </c>
      <c r="D308" s="9">
        <v>47</v>
      </c>
      <c r="E308" s="10">
        <v>8</v>
      </c>
      <c r="F308" s="476">
        <f t="shared" si="182"/>
        <v>120582</v>
      </c>
      <c r="G308" s="476">
        <f t="shared" si="183"/>
        <v>5024.25</v>
      </c>
      <c r="H308">
        <f t="shared" si="209"/>
        <v>126386.64</v>
      </c>
      <c r="I308">
        <f t="shared" si="210"/>
        <v>5266.11</v>
      </c>
      <c r="L308" t="s">
        <v>416</v>
      </c>
      <c r="M308" s="143">
        <f t="shared" si="211"/>
        <v>57.75</v>
      </c>
      <c r="N308" s="476">
        <f t="shared" si="188"/>
        <v>0</v>
      </c>
      <c r="O308" s="142">
        <f t="shared" si="184"/>
        <v>57.75</v>
      </c>
      <c r="P308" s="476">
        <f t="shared" si="185"/>
        <v>120582</v>
      </c>
      <c r="Q308" s="476"/>
      <c r="R308" s="476">
        <f t="shared" si="195"/>
        <v>0</v>
      </c>
      <c r="S308" s="476">
        <f t="shared" si="186"/>
        <v>57.75</v>
      </c>
      <c r="T308" s="478">
        <f t="shared" si="212"/>
        <v>120582</v>
      </c>
      <c r="U308" t="s">
        <v>416</v>
      </c>
      <c r="V308" s="478">
        <f t="shared" si="213"/>
        <v>0</v>
      </c>
      <c r="W308" s="142">
        <f t="shared" si="187"/>
        <v>0</v>
      </c>
      <c r="X308" s="1076"/>
    </row>
    <row r="309" spans="1:24" x14ac:dyDescent="0.2">
      <c r="A309" t="s">
        <v>417</v>
      </c>
      <c r="B309" s="478">
        <f t="shared" si="208"/>
        <v>126386.64</v>
      </c>
      <c r="C309" s="478">
        <f t="shared" si="208"/>
        <v>5266.11</v>
      </c>
      <c r="D309" s="9">
        <v>47</v>
      </c>
      <c r="E309" s="10">
        <v>9</v>
      </c>
      <c r="F309" s="476">
        <f t="shared" si="182"/>
        <v>126386.64</v>
      </c>
      <c r="G309" s="476">
        <f t="shared" si="183"/>
        <v>5266.11</v>
      </c>
      <c r="H309">
        <f t="shared" si="209"/>
        <v>132441.84</v>
      </c>
      <c r="I309">
        <f t="shared" si="210"/>
        <v>5518.41</v>
      </c>
      <c r="L309" t="s">
        <v>417</v>
      </c>
      <c r="M309" s="143">
        <f t="shared" si="211"/>
        <v>60.53</v>
      </c>
      <c r="N309" s="476">
        <f t="shared" si="188"/>
        <v>0</v>
      </c>
      <c r="O309" s="142">
        <f t="shared" si="184"/>
        <v>60.53</v>
      </c>
      <c r="P309" s="476">
        <f t="shared" si="185"/>
        <v>126386.64</v>
      </c>
      <c r="Q309" s="476"/>
      <c r="R309" s="476">
        <f t="shared" si="195"/>
        <v>0</v>
      </c>
      <c r="S309" s="476">
        <f t="shared" si="186"/>
        <v>60.53</v>
      </c>
      <c r="T309" s="478">
        <f t="shared" si="212"/>
        <v>126386.64</v>
      </c>
      <c r="U309" t="s">
        <v>417</v>
      </c>
      <c r="V309" s="478">
        <f t="shared" si="213"/>
        <v>0</v>
      </c>
      <c r="W309" s="142">
        <f t="shared" si="187"/>
        <v>0</v>
      </c>
      <c r="X309" s="1076"/>
    </row>
    <row r="310" spans="1:24" x14ac:dyDescent="0.2">
      <c r="A310" t="s">
        <v>418</v>
      </c>
      <c r="B310" s="477">
        <f>P310</f>
        <v>132441.84</v>
      </c>
      <c r="C310" s="477">
        <f>B310/24</f>
        <v>5518.41</v>
      </c>
      <c r="D310" s="9">
        <v>47</v>
      </c>
      <c r="E310" s="10">
        <v>10</v>
      </c>
      <c r="F310" s="476">
        <f t="shared" si="182"/>
        <v>132441.84</v>
      </c>
      <c r="G310" s="476">
        <f t="shared" si="183"/>
        <v>5518.41</v>
      </c>
      <c r="H310">
        <f>F310</f>
        <v>132441.84</v>
      </c>
      <c r="I310">
        <f>G310</f>
        <v>5518.41</v>
      </c>
      <c r="L310" t="s">
        <v>418</v>
      </c>
      <c r="M310" s="612">
        <v>63.43</v>
      </c>
      <c r="N310" s="476">
        <f t="shared" si="188"/>
        <v>0</v>
      </c>
      <c r="O310" s="142">
        <f t="shared" si="184"/>
        <v>63.43</v>
      </c>
      <c r="P310" s="476">
        <f t="shared" si="185"/>
        <v>132441.84</v>
      </c>
      <c r="Q310" s="476"/>
      <c r="R310" s="476">
        <f t="shared" si="195"/>
        <v>0</v>
      </c>
      <c r="S310" s="476">
        <f t="shared" si="186"/>
        <v>63.43</v>
      </c>
      <c r="T310" s="477">
        <f>S310*$T$9</f>
        <v>132441.84</v>
      </c>
      <c r="U310" t="s">
        <v>418</v>
      </c>
      <c r="V310" s="142">
        <f>R310*2088</f>
        <v>0</v>
      </c>
      <c r="W310" s="142">
        <f t="shared" si="187"/>
        <v>0</v>
      </c>
      <c r="X310" s="1076"/>
    </row>
    <row r="311" spans="1:24" x14ac:dyDescent="0.2">
      <c r="A311" t="s">
        <v>419</v>
      </c>
      <c r="B311" s="478">
        <f t="shared" ref="B311:C319" si="214">B302</f>
        <v>91350</v>
      </c>
      <c r="C311" s="478">
        <f t="shared" si="214"/>
        <v>3806.25</v>
      </c>
      <c r="D311" s="9">
        <v>48</v>
      </c>
      <c r="E311" s="10" t="s">
        <v>23</v>
      </c>
      <c r="F311" s="476">
        <f t="shared" si="182"/>
        <v>91350</v>
      </c>
      <c r="G311" s="476">
        <f t="shared" si="183"/>
        <v>3806.25</v>
      </c>
      <c r="H311">
        <f t="shared" ref="H311:H319" si="215">F312</f>
        <v>95672.16</v>
      </c>
      <c r="I311">
        <f t="shared" ref="I311:I319" si="216">G312</f>
        <v>3986.34</v>
      </c>
      <c r="L311" t="s">
        <v>419</v>
      </c>
      <c r="M311" s="143">
        <f t="shared" ref="M311:M319" si="217">M302</f>
        <v>43.75</v>
      </c>
      <c r="N311" s="476">
        <f t="shared" si="188"/>
        <v>0</v>
      </c>
      <c r="O311" s="142">
        <f t="shared" si="184"/>
        <v>43.75</v>
      </c>
      <c r="P311" s="476">
        <f t="shared" si="185"/>
        <v>91350</v>
      </c>
      <c r="Q311" s="476"/>
      <c r="R311" s="476">
        <f t="shared" si="195"/>
        <v>0</v>
      </c>
      <c r="S311" s="476">
        <f t="shared" si="186"/>
        <v>43.75</v>
      </c>
      <c r="T311" s="478">
        <f t="shared" ref="T311:T319" si="218">T302</f>
        <v>91350</v>
      </c>
      <c r="U311" t="s">
        <v>419</v>
      </c>
      <c r="V311" s="478">
        <f t="shared" ref="V311:V319" si="219">V302</f>
        <v>0</v>
      </c>
      <c r="W311" s="142">
        <f t="shared" si="187"/>
        <v>0</v>
      </c>
      <c r="X311" s="1076"/>
    </row>
    <row r="312" spans="1:24" x14ac:dyDescent="0.2">
      <c r="A312" t="s">
        <v>420</v>
      </c>
      <c r="B312" s="478">
        <f t="shared" si="214"/>
        <v>95672.16</v>
      </c>
      <c r="C312" s="478">
        <f t="shared" si="214"/>
        <v>3986.34</v>
      </c>
      <c r="D312" s="9">
        <v>48</v>
      </c>
      <c r="E312" s="10">
        <v>2</v>
      </c>
      <c r="F312" s="476">
        <f t="shared" si="182"/>
        <v>95672.16</v>
      </c>
      <c r="G312" s="476">
        <f t="shared" si="183"/>
        <v>3986.34</v>
      </c>
      <c r="H312">
        <f t="shared" si="215"/>
        <v>100161.36</v>
      </c>
      <c r="I312">
        <f t="shared" si="216"/>
        <v>4173.3900000000003</v>
      </c>
      <c r="L312" t="s">
        <v>420</v>
      </c>
      <c r="M312" s="143">
        <f t="shared" si="217"/>
        <v>45.82</v>
      </c>
      <c r="N312" s="476">
        <f t="shared" si="188"/>
        <v>0</v>
      </c>
      <c r="O312" s="142">
        <f t="shared" si="184"/>
        <v>45.82</v>
      </c>
      <c r="P312" s="476">
        <f t="shared" si="185"/>
        <v>95672.16</v>
      </c>
      <c r="Q312" s="476"/>
      <c r="R312" s="476">
        <f t="shared" si="195"/>
        <v>0</v>
      </c>
      <c r="S312" s="476">
        <f t="shared" si="186"/>
        <v>45.82</v>
      </c>
      <c r="T312" s="478">
        <f t="shared" si="218"/>
        <v>95672.16</v>
      </c>
      <c r="U312" t="s">
        <v>420</v>
      </c>
      <c r="V312" s="478">
        <f t="shared" si="219"/>
        <v>0</v>
      </c>
      <c r="W312" s="142">
        <f t="shared" si="187"/>
        <v>0</v>
      </c>
      <c r="X312" s="1076"/>
    </row>
    <row r="313" spans="1:24" x14ac:dyDescent="0.2">
      <c r="A313" t="s">
        <v>421</v>
      </c>
      <c r="B313" s="478">
        <f t="shared" si="214"/>
        <v>100161.36</v>
      </c>
      <c r="C313" s="478">
        <f t="shared" si="214"/>
        <v>4173.3900000000003</v>
      </c>
      <c r="D313" s="9">
        <v>48</v>
      </c>
      <c r="E313" s="10">
        <v>3</v>
      </c>
      <c r="F313" s="476">
        <f t="shared" si="182"/>
        <v>100161.36</v>
      </c>
      <c r="G313" s="476">
        <f t="shared" si="183"/>
        <v>4173.3900000000003</v>
      </c>
      <c r="H313">
        <f t="shared" si="215"/>
        <v>104901.12000000001</v>
      </c>
      <c r="I313">
        <f t="shared" si="216"/>
        <v>4370.88</v>
      </c>
      <c r="L313" t="s">
        <v>421</v>
      </c>
      <c r="M313" s="143">
        <f t="shared" si="217"/>
        <v>47.97</v>
      </c>
      <c r="N313" s="476">
        <f t="shared" si="188"/>
        <v>0</v>
      </c>
      <c r="O313" s="142">
        <f t="shared" si="184"/>
        <v>47.97</v>
      </c>
      <c r="P313" s="476">
        <f t="shared" si="185"/>
        <v>100161.36</v>
      </c>
      <c r="Q313" s="476"/>
      <c r="R313" s="476">
        <f t="shared" si="195"/>
        <v>0</v>
      </c>
      <c r="S313" s="476">
        <f t="shared" si="186"/>
        <v>47.97</v>
      </c>
      <c r="T313" s="478">
        <f t="shared" si="218"/>
        <v>100182.24</v>
      </c>
      <c r="U313" t="s">
        <v>421</v>
      </c>
      <c r="V313" s="478">
        <f t="shared" si="219"/>
        <v>20.88</v>
      </c>
      <c r="W313" s="142">
        <f t="shared" si="187"/>
        <v>20.880000000004657</v>
      </c>
      <c r="X313" s="1076"/>
    </row>
    <row r="314" spans="1:24" x14ac:dyDescent="0.2">
      <c r="A314" t="s">
        <v>422</v>
      </c>
      <c r="B314" s="478">
        <f t="shared" si="214"/>
        <v>104901.12000000001</v>
      </c>
      <c r="C314" s="478">
        <f t="shared" si="214"/>
        <v>4370.88</v>
      </c>
      <c r="D314" s="9">
        <v>48</v>
      </c>
      <c r="E314" s="10">
        <v>4</v>
      </c>
      <c r="F314" s="476">
        <f t="shared" si="182"/>
        <v>104901.12000000001</v>
      </c>
      <c r="G314" s="476">
        <f t="shared" si="183"/>
        <v>4370.88</v>
      </c>
      <c r="H314">
        <f t="shared" si="215"/>
        <v>109849.68</v>
      </c>
      <c r="I314">
        <f t="shared" si="216"/>
        <v>4577.07</v>
      </c>
      <c r="L314" t="s">
        <v>422</v>
      </c>
      <c r="M314" s="143">
        <f t="shared" si="217"/>
        <v>50.24</v>
      </c>
      <c r="N314" s="476">
        <f t="shared" si="188"/>
        <v>0</v>
      </c>
      <c r="O314" s="142">
        <f t="shared" si="184"/>
        <v>50.24</v>
      </c>
      <c r="P314" s="476">
        <f t="shared" si="185"/>
        <v>104901.12000000001</v>
      </c>
      <c r="Q314" s="476"/>
      <c r="R314" s="476">
        <f t="shared" si="195"/>
        <v>0</v>
      </c>
      <c r="S314" s="476">
        <f t="shared" si="186"/>
        <v>50.24</v>
      </c>
      <c r="T314" s="478">
        <f t="shared" si="218"/>
        <v>104901.12000000001</v>
      </c>
      <c r="U314" t="s">
        <v>422</v>
      </c>
      <c r="V314" s="478">
        <f t="shared" si="219"/>
        <v>0</v>
      </c>
      <c r="W314" s="142">
        <f t="shared" si="187"/>
        <v>0</v>
      </c>
      <c r="X314" s="1076"/>
    </row>
    <row r="315" spans="1:24" x14ac:dyDescent="0.2">
      <c r="A315" t="s">
        <v>423</v>
      </c>
      <c r="B315" s="478">
        <f t="shared" si="214"/>
        <v>109849.68</v>
      </c>
      <c r="C315" s="478">
        <f t="shared" si="214"/>
        <v>4577.07</v>
      </c>
      <c r="D315" s="9">
        <v>48</v>
      </c>
      <c r="E315" s="10">
        <v>5</v>
      </c>
      <c r="F315" s="476">
        <f t="shared" si="182"/>
        <v>109849.68</v>
      </c>
      <c r="G315" s="476">
        <f t="shared" si="183"/>
        <v>4577.07</v>
      </c>
      <c r="H315">
        <f t="shared" si="215"/>
        <v>115090.56</v>
      </c>
      <c r="I315">
        <f t="shared" si="216"/>
        <v>4795.4399999999996</v>
      </c>
      <c r="L315" t="s">
        <v>423</v>
      </c>
      <c r="M315" s="143">
        <f t="shared" si="217"/>
        <v>52.61</v>
      </c>
      <c r="N315" s="476">
        <f t="shared" si="188"/>
        <v>0</v>
      </c>
      <c r="O315" s="142">
        <f t="shared" si="184"/>
        <v>52.61</v>
      </c>
      <c r="P315" s="476">
        <f t="shared" si="185"/>
        <v>109849.68</v>
      </c>
      <c r="Q315" s="476"/>
      <c r="R315" s="476">
        <f t="shared" si="195"/>
        <v>0</v>
      </c>
      <c r="S315" s="476">
        <f t="shared" si="186"/>
        <v>52.61</v>
      </c>
      <c r="T315" s="478">
        <f t="shared" si="218"/>
        <v>109849.68</v>
      </c>
      <c r="U315" t="s">
        <v>423</v>
      </c>
      <c r="V315" s="478">
        <f t="shared" si="219"/>
        <v>0</v>
      </c>
      <c r="W315" s="142">
        <f t="shared" si="187"/>
        <v>0</v>
      </c>
      <c r="X315" s="1076"/>
    </row>
    <row r="316" spans="1:24" x14ac:dyDescent="0.2">
      <c r="A316" t="s">
        <v>424</v>
      </c>
      <c r="B316" s="478">
        <f t="shared" si="214"/>
        <v>115090.56</v>
      </c>
      <c r="C316" s="478">
        <f t="shared" si="214"/>
        <v>4795.4399999999996</v>
      </c>
      <c r="D316" s="9">
        <v>48</v>
      </c>
      <c r="E316" s="10">
        <v>6</v>
      </c>
      <c r="F316" s="476">
        <f t="shared" si="182"/>
        <v>115090.56</v>
      </c>
      <c r="G316" s="476">
        <f t="shared" si="183"/>
        <v>4795.4399999999996</v>
      </c>
      <c r="H316">
        <f t="shared" si="215"/>
        <v>120582</v>
      </c>
      <c r="I316">
        <f t="shared" si="216"/>
        <v>5024.25</v>
      </c>
      <c r="L316" t="s">
        <v>424</v>
      </c>
      <c r="M316" s="143">
        <f t="shared" si="217"/>
        <v>55.12</v>
      </c>
      <c r="N316" s="476">
        <f t="shared" si="188"/>
        <v>0</v>
      </c>
      <c r="O316" s="142">
        <f t="shared" si="184"/>
        <v>55.12</v>
      </c>
      <c r="P316" s="476">
        <f t="shared" si="185"/>
        <v>115090.56</v>
      </c>
      <c r="Q316" s="476"/>
      <c r="R316" s="476">
        <f t="shared" si="195"/>
        <v>0</v>
      </c>
      <c r="S316" s="476">
        <f t="shared" si="186"/>
        <v>55.12</v>
      </c>
      <c r="T316" s="478">
        <f t="shared" si="218"/>
        <v>115090.56</v>
      </c>
      <c r="U316" t="s">
        <v>424</v>
      </c>
      <c r="V316" s="478">
        <f t="shared" si="219"/>
        <v>0</v>
      </c>
      <c r="W316" s="142">
        <f t="shared" si="187"/>
        <v>0</v>
      </c>
      <c r="X316" s="1076"/>
    </row>
    <row r="317" spans="1:24" x14ac:dyDescent="0.2">
      <c r="A317" t="s">
        <v>425</v>
      </c>
      <c r="B317" s="478">
        <f t="shared" si="214"/>
        <v>120582</v>
      </c>
      <c r="C317" s="478">
        <f t="shared" si="214"/>
        <v>5024.25</v>
      </c>
      <c r="D317" s="9">
        <v>48</v>
      </c>
      <c r="E317" s="10">
        <v>7</v>
      </c>
      <c r="F317" s="476">
        <f t="shared" si="182"/>
        <v>120582</v>
      </c>
      <c r="G317" s="476">
        <f t="shared" si="183"/>
        <v>5024.25</v>
      </c>
      <c r="H317">
        <f t="shared" si="215"/>
        <v>126386.64</v>
      </c>
      <c r="I317">
        <f t="shared" si="216"/>
        <v>5266.11</v>
      </c>
      <c r="L317" t="s">
        <v>425</v>
      </c>
      <c r="M317" s="143">
        <f t="shared" si="217"/>
        <v>57.75</v>
      </c>
      <c r="N317" s="476">
        <f t="shared" si="188"/>
        <v>0</v>
      </c>
      <c r="O317" s="142">
        <f t="shared" si="184"/>
        <v>57.75</v>
      </c>
      <c r="P317" s="476">
        <f t="shared" si="185"/>
        <v>120582</v>
      </c>
      <c r="Q317" s="476"/>
      <c r="R317" s="476">
        <f t="shared" si="195"/>
        <v>0</v>
      </c>
      <c r="S317" s="476">
        <f t="shared" si="186"/>
        <v>57.75</v>
      </c>
      <c r="T317" s="478">
        <f t="shared" si="218"/>
        <v>120582</v>
      </c>
      <c r="U317" t="s">
        <v>425</v>
      </c>
      <c r="V317" s="478">
        <f t="shared" si="219"/>
        <v>0</v>
      </c>
      <c r="W317" s="142">
        <f t="shared" si="187"/>
        <v>0</v>
      </c>
      <c r="X317" s="1076"/>
    </row>
    <row r="318" spans="1:24" x14ac:dyDescent="0.2">
      <c r="A318" t="s">
        <v>426</v>
      </c>
      <c r="B318" s="478">
        <f t="shared" si="214"/>
        <v>126386.64</v>
      </c>
      <c r="C318" s="478">
        <f t="shared" si="214"/>
        <v>5266.11</v>
      </c>
      <c r="D318" s="9">
        <v>48</v>
      </c>
      <c r="E318" s="10">
        <v>8</v>
      </c>
      <c r="F318" s="476">
        <f t="shared" si="182"/>
        <v>126386.64</v>
      </c>
      <c r="G318" s="476">
        <f t="shared" si="183"/>
        <v>5266.11</v>
      </c>
      <c r="H318">
        <f t="shared" si="215"/>
        <v>132441.84</v>
      </c>
      <c r="I318">
        <f t="shared" si="216"/>
        <v>5518.41</v>
      </c>
      <c r="L318" t="s">
        <v>426</v>
      </c>
      <c r="M318" s="143">
        <f t="shared" si="217"/>
        <v>60.53</v>
      </c>
      <c r="N318" s="476">
        <f t="shared" si="188"/>
        <v>0</v>
      </c>
      <c r="O318" s="142">
        <f t="shared" si="184"/>
        <v>60.53</v>
      </c>
      <c r="P318" s="476">
        <f t="shared" si="185"/>
        <v>126386.64</v>
      </c>
      <c r="Q318" s="476"/>
      <c r="R318" s="476">
        <f t="shared" si="195"/>
        <v>0</v>
      </c>
      <c r="S318" s="476">
        <f t="shared" si="186"/>
        <v>60.53</v>
      </c>
      <c r="T318" s="478">
        <f t="shared" si="218"/>
        <v>126386.64</v>
      </c>
      <c r="U318" t="s">
        <v>426</v>
      </c>
      <c r="V318" s="478">
        <f t="shared" si="219"/>
        <v>0</v>
      </c>
      <c r="W318" s="142">
        <f t="shared" si="187"/>
        <v>0</v>
      </c>
      <c r="X318" s="1076"/>
    </row>
    <row r="319" spans="1:24" x14ac:dyDescent="0.2">
      <c r="A319" t="s">
        <v>427</v>
      </c>
      <c r="B319" s="478">
        <f t="shared" si="214"/>
        <v>132441.84</v>
      </c>
      <c r="C319" s="478">
        <f t="shared" si="214"/>
        <v>5518.41</v>
      </c>
      <c r="D319" s="9">
        <v>48</v>
      </c>
      <c r="E319" s="10">
        <v>9</v>
      </c>
      <c r="F319" s="476">
        <f t="shared" si="182"/>
        <v>132441.84</v>
      </c>
      <c r="G319" s="476">
        <f t="shared" si="183"/>
        <v>5518.41</v>
      </c>
      <c r="H319">
        <f t="shared" si="215"/>
        <v>138789.35999999999</v>
      </c>
      <c r="I319">
        <f t="shared" si="216"/>
        <v>5782.8899999999994</v>
      </c>
      <c r="L319" t="s">
        <v>427</v>
      </c>
      <c r="M319" s="143">
        <f t="shared" si="217"/>
        <v>63.43</v>
      </c>
      <c r="N319" s="476">
        <f t="shared" si="188"/>
        <v>0</v>
      </c>
      <c r="O319" s="142">
        <f t="shared" si="184"/>
        <v>63.43</v>
      </c>
      <c r="P319" s="476">
        <f t="shared" si="185"/>
        <v>132441.84</v>
      </c>
      <c r="Q319" s="476"/>
      <c r="R319" s="476">
        <f t="shared" si="195"/>
        <v>0</v>
      </c>
      <c r="S319" s="476">
        <f t="shared" si="186"/>
        <v>63.43</v>
      </c>
      <c r="T319" s="478">
        <f t="shared" si="218"/>
        <v>132441.84</v>
      </c>
      <c r="U319" t="s">
        <v>427</v>
      </c>
      <c r="V319" s="478">
        <f t="shared" si="219"/>
        <v>0</v>
      </c>
      <c r="W319" s="142">
        <f t="shared" si="187"/>
        <v>0</v>
      </c>
      <c r="X319" s="1076"/>
    </row>
    <row r="320" spans="1:24" x14ac:dyDescent="0.2">
      <c r="A320" t="s">
        <v>428</v>
      </c>
      <c r="B320" s="477">
        <f>P320</f>
        <v>138789.35999999999</v>
      </c>
      <c r="C320" s="477">
        <f>B320/24</f>
        <v>5782.8899999999994</v>
      </c>
      <c r="D320" s="9">
        <v>48</v>
      </c>
      <c r="E320" s="10">
        <v>10</v>
      </c>
      <c r="F320" s="476">
        <f t="shared" si="182"/>
        <v>138789.35999999999</v>
      </c>
      <c r="G320" s="476">
        <f t="shared" si="183"/>
        <v>5782.8899999999994</v>
      </c>
      <c r="H320">
        <f>F320</f>
        <v>138789.35999999999</v>
      </c>
      <c r="I320">
        <f>G320</f>
        <v>5782.8899999999994</v>
      </c>
      <c r="L320" t="s">
        <v>428</v>
      </c>
      <c r="M320" s="612">
        <v>66.47</v>
      </c>
      <c r="N320" s="476">
        <f t="shared" si="188"/>
        <v>0</v>
      </c>
      <c r="O320" s="142">
        <f t="shared" si="184"/>
        <v>66.47</v>
      </c>
      <c r="P320" s="476">
        <f t="shared" si="185"/>
        <v>138789.35999999999</v>
      </c>
      <c r="Q320" s="476"/>
      <c r="R320" s="476">
        <f t="shared" si="195"/>
        <v>0</v>
      </c>
      <c r="S320" s="476">
        <f t="shared" si="186"/>
        <v>66.47</v>
      </c>
      <c r="T320" s="477">
        <f>S320*$T$9</f>
        <v>138789.35999999999</v>
      </c>
      <c r="U320" t="s">
        <v>428</v>
      </c>
      <c r="V320" s="142">
        <f>R320*2088</f>
        <v>0</v>
      </c>
      <c r="W320" s="142">
        <f t="shared" si="187"/>
        <v>0</v>
      </c>
      <c r="X320" s="1076"/>
    </row>
    <row r="321" spans="1:24" x14ac:dyDescent="0.2">
      <c r="A321" t="s">
        <v>429</v>
      </c>
      <c r="B321" s="478">
        <f t="shared" ref="B321:C329" si="220">B312</f>
        <v>95672.16</v>
      </c>
      <c r="C321" s="478">
        <f t="shared" si="220"/>
        <v>3986.34</v>
      </c>
      <c r="D321" s="9">
        <v>49</v>
      </c>
      <c r="E321" s="10" t="s">
        <v>23</v>
      </c>
      <c r="F321" s="476">
        <f t="shared" si="182"/>
        <v>95672.16</v>
      </c>
      <c r="G321" s="476">
        <f t="shared" si="183"/>
        <v>3986.34</v>
      </c>
      <c r="H321">
        <f t="shared" ref="H321:H329" si="221">F322</f>
        <v>100161.36</v>
      </c>
      <c r="I321">
        <f t="shared" ref="I321:I329" si="222">G322</f>
        <v>4173.3900000000003</v>
      </c>
      <c r="L321" t="s">
        <v>429</v>
      </c>
      <c r="M321" s="143">
        <f t="shared" ref="M321:M329" si="223">M312</f>
        <v>45.82</v>
      </c>
      <c r="N321" s="476">
        <f t="shared" si="188"/>
        <v>0</v>
      </c>
      <c r="O321" s="142">
        <f t="shared" si="184"/>
        <v>45.82</v>
      </c>
      <c r="P321" s="476">
        <f t="shared" si="185"/>
        <v>95672.16</v>
      </c>
      <c r="Q321" s="476"/>
      <c r="R321" s="476">
        <f t="shared" si="195"/>
        <v>0</v>
      </c>
      <c r="S321" s="476">
        <f t="shared" si="186"/>
        <v>45.82</v>
      </c>
      <c r="T321" s="478">
        <f t="shared" ref="T321:T329" si="224">T312</f>
        <v>95672.16</v>
      </c>
      <c r="U321" t="s">
        <v>429</v>
      </c>
      <c r="V321" s="478">
        <f t="shared" ref="V321:V329" si="225">V312</f>
        <v>0</v>
      </c>
      <c r="W321" s="142">
        <f t="shared" si="187"/>
        <v>0</v>
      </c>
      <c r="X321" s="1076"/>
    </row>
    <row r="322" spans="1:24" x14ac:dyDescent="0.2">
      <c r="A322" t="s">
        <v>430</v>
      </c>
      <c r="B322" s="478">
        <f t="shared" si="220"/>
        <v>100161.36</v>
      </c>
      <c r="C322" s="478">
        <f t="shared" si="220"/>
        <v>4173.3900000000003</v>
      </c>
      <c r="D322" s="9">
        <v>49</v>
      </c>
      <c r="E322" s="10">
        <v>2</v>
      </c>
      <c r="F322" s="476">
        <f t="shared" si="182"/>
        <v>100161.36</v>
      </c>
      <c r="G322" s="476">
        <f t="shared" si="183"/>
        <v>4173.3900000000003</v>
      </c>
      <c r="H322">
        <f t="shared" si="221"/>
        <v>104901.12000000001</v>
      </c>
      <c r="I322">
        <f t="shared" si="222"/>
        <v>4370.88</v>
      </c>
      <c r="L322" t="s">
        <v>430</v>
      </c>
      <c r="M322" s="143">
        <f t="shared" si="223"/>
        <v>47.97</v>
      </c>
      <c r="N322" s="476">
        <f t="shared" si="188"/>
        <v>0</v>
      </c>
      <c r="O322" s="142">
        <f t="shared" si="184"/>
        <v>47.97</v>
      </c>
      <c r="P322" s="476">
        <f t="shared" si="185"/>
        <v>100161.36</v>
      </c>
      <c r="Q322" s="476"/>
      <c r="R322" s="476">
        <f t="shared" si="195"/>
        <v>0</v>
      </c>
      <c r="S322" s="476">
        <f t="shared" si="186"/>
        <v>47.97</v>
      </c>
      <c r="T322" s="478">
        <f t="shared" si="224"/>
        <v>100182.24</v>
      </c>
      <c r="U322" t="s">
        <v>430</v>
      </c>
      <c r="V322" s="478">
        <f t="shared" si="225"/>
        <v>20.88</v>
      </c>
      <c r="W322" s="142">
        <f t="shared" si="187"/>
        <v>20.880000000004657</v>
      </c>
      <c r="X322" s="1076"/>
    </row>
    <row r="323" spans="1:24" x14ac:dyDescent="0.2">
      <c r="A323" t="s">
        <v>431</v>
      </c>
      <c r="B323" s="478">
        <f t="shared" si="220"/>
        <v>104901.12000000001</v>
      </c>
      <c r="C323" s="478">
        <f t="shared" si="220"/>
        <v>4370.88</v>
      </c>
      <c r="D323" s="9">
        <v>49</v>
      </c>
      <c r="E323" s="10">
        <v>3</v>
      </c>
      <c r="F323" s="476">
        <f t="shared" si="182"/>
        <v>104901.12000000001</v>
      </c>
      <c r="G323" s="476">
        <f t="shared" si="183"/>
        <v>4370.88</v>
      </c>
      <c r="H323">
        <f t="shared" si="221"/>
        <v>109849.68</v>
      </c>
      <c r="I323">
        <f t="shared" si="222"/>
        <v>4577.07</v>
      </c>
      <c r="L323" t="s">
        <v>431</v>
      </c>
      <c r="M323" s="143">
        <f t="shared" si="223"/>
        <v>50.24</v>
      </c>
      <c r="N323" s="476">
        <f t="shared" si="188"/>
        <v>0</v>
      </c>
      <c r="O323" s="142">
        <f t="shared" si="184"/>
        <v>50.24</v>
      </c>
      <c r="P323" s="476">
        <f t="shared" si="185"/>
        <v>104901.12000000001</v>
      </c>
      <c r="Q323" s="476"/>
      <c r="R323" s="476">
        <f t="shared" si="195"/>
        <v>0</v>
      </c>
      <c r="S323" s="476">
        <f t="shared" si="186"/>
        <v>50.24</v>
      </c>
      <c r="T323" s="478">
        <f t="shared" si="224"/>
        <v>104901.12000000001</v>
      </c>
      <c r="U323" t="s">
        <v>431</v>
      </c>
      <c r="V323" s="478">
        <f t="shared" si="225"/>
        <v>0</v>
      </c>
      <c r="W323" s="142">
        <f t="shared" si="187"/>
        <v>0</v>
      </c>
      <c r="X323" s="1076"/>
    </row>
    <row r="324" spans="1:24" x14ac:dyDescent="0.2">
      <c r="A324" t="s">
        <v>432</v>
      </c>
      <c r="B324" s="478">
        <f t="shared" si="220"/>
        <v>109849.68</v>
      </c>
      <c r="C324" s="478">
        <f t="shared" si="220"/>
        <v>4577.07</v>
      </c>
      <c r="D324" s="9">
        <v>49</v>
      </c>
      <c r="E324" s="10">
        <v>4</v>
      </c>
      <c r="F324" s="476">
        <f t="shared" si="182"/>
        <v>109849.68</v>
      </c>
      <c r="G324" s="476">
        <f t="shared" si="183"/>
        <v>4577.07</v>
      </c>
      <c r="H324">
        <f t="shared" si="221"/>
        <v>115090.56</v>
      </c>
      <c r="I324">
        <f t="shared" si="222"/>
        <v>4795.4399999999996</v>
      </c>
      <c r="L324" t="s">
        <v>432</v>
      </c>
      <c r="M324" s="143">
        <f t="shared" si="223"/>
        <v>52.61</v>
      </c>
      <c r="N324" s="476">
        <f t="shared" si="188"/>
        <v>0</v>
      </c>
      <c r="O324" s="142">
        <f t="shared" si="184"/>
        <v>52.61</v>
      </c>
      <c r="P324" s="476">
        <f t="shared" si="185"/>
        <v>109849.68</v>
      </c>
      <c r="Q324" s="476"/>
      <c r="R324" s="476">
        <f t="shared" si="195"/>
        <v>0</v>
      </c>
      <c r="S324" s="476">
        <f t="shared" si="186"/>
        <v>52.61</v>
      </c>
      <c r="T324" s="478">
        <f t="shared" si="224"/>
        <v>109849.68</v>
      </c>
      <c r="U324" t="s">
        <v>432</v>
      </c>
      <c r="V324" s="478">
        <f t="shared" si="225"/>
        <v>0</v>
      </c>
      <c r="W324" s="142">
        <f t="shared" si="187"/>
        <v>0</v>
      </c>
      <c r="X324" s="1076"/>
    </row>
    <row r="325" spans="1:24" x14ac:dyDescent="0.2">
      <c r="A325" t="s">
        <v>433</v>
      </c>
      <c r="B325" s="478">
        <f t="shared" si="220"/>
        <v>115090.56</v>
      </c>
      <c r="C325" s="478">
        <f t="shared" si="220"/>
        <v>4795.4399999999996</v>
      </c>
      <c r="D325" s="9">
        <v>49</v>
      </c>
      <c r="E325" s="10">
        <v>5</v>
      </c>
      <c r="F325" s="476">
        <f t="shared" si="182"/>
        <v>115090.56</v>
      </c>
      <c r="G325" s="476">
        <f t="shared" si="183"/>
        <v>4795.4399999999996</v>
      </c>
      <c r="H325">
        <f t="shared" si="221"/>
        <v>120582</v>
      </c>
      <c r="I325">
        <f t="shared" si="222"/>
        <v>5024.25</v>
      </c>
      <c r="L325" t="s">
        <v>433</v>
      </c>
      <c r="M325" s="143">
        <f t="shared" si="223"/>
        <v>55.12</v>
      </c>
      <c r="N325" s="476">
        <f t="shared" si="188"/>
        <v>0</v>
      </c>
      <c r="O325" s="142">
        <f t="shared" si="184"/>
        <v>55.12</v>
      </c>
      <c r="P325" s="476">
        <f t="shared" si="185"/>
        <v>115090.56</v>
      </c>
      <c r="Q325" s="476"/>
      <c r="R325" s="476">
        <f t="shared" si="195"/>
        <v>0</v>
      </c>
      <c r="S325" s="476">
        <f t="shared" si="186"/>
        <v>55.12</v>
      </c>
      <c r="T325" s="478">
        <f t="shared" si="224"/>
        <v>115090.56</v>
      </c>
      <c r="U325" t="s">
        <v>433</v>
      </c>
      <c r="V325" s="478">
        <f t="shared" si="225"/>
        <v>0</v>
      </c>
      <c r="W325" s="142">
        <f t="shared" si="187"/>
        <v>0</v>
      </c>
      <c r="X325" s="1076"/>
    </row>
    <row r="326" spans="1:24" x14ac:dyDescent="0.2">
      <c r="A326" t="s">
        <v>434</v>
      </c>
      <c r="B326" s="478">
        <f t="shared" si="220"/>
        <v>120582</v>
      </c>
      <c r="C326" s="478">
        <f t="shared" si="220"/>
        <v>5024.25</v>
      </c>
      <c r="D326" s="9">
        <v>49</v>
      </c>
      <c r="E326" s="10">
        <v>6</v>
      </c>
      <c r="F326" s="476">
        <f t="shared" si="182"/>
        <v>120582</v>
      </c>
      <c r="G326" s="476">
        <f t="shared" si="183"/>
        <v>5024.25</v>
      </c>
      <c r="H326">
        <f t="shared" si="221"/>
        <v>126386.64</v>
      </c>
      <c r="I326">
        <f t="shared" si="222"/>
        <v>5266.11</v>
      </c>
      <c r="L326" t="s">
        <v>434</v>
      </c>
      <c r="M326" s="143">
        <f t="shared" si="223"/>
        <v>57.75</v>
      </c>
      <c r="N326" s="476">
        <f t="shared" si="188"/>
        <v>0</v>
      </c>
      <c r="O326" s="142">
        <f t="shared" si="184"/>
        <v>57.75</v>
      </c>
      <c r="P326" s="476">
        <f t="shared" si="185"/>
        <v>120582</v>
      </c>
      <c r="Q326" s="476"/>
      <c r="R326" s="476">
        <f t="shared" si="195"/>
        <v>0</v>
      </c>
      <c r="S326" s="476">
        <f t="shared" si="186"/>
        <v>57.75</v>
      </c>
      <c r="T326" s="478">
        <f t="shared" si="224"/>
        <v>120582</v>
      </c>
      <c r="U326" t="s">
        <v>434</v>
      </c>
      <c r="V326" s="478">
        <f t="shared" si="225"/>
        <v>0</v>
      </c>
      <c r="W326" s="142">
        <f t="shared" si="187"/>
        <v>0</v>
      </c>
      <c r="X326" s="1076"/>
    </row>
    <row r="327" spans="1:24" x14ac:dyDescent="0.2">
      <c r="A327" t="s">
        <v>435</v>
      </c>
      <c r="B327" s="478">
        <f t="shared" si="220"/>
        <v>126386.64</v>
      </c>
      <c r="C327" s="478">
        <f t="shared" si="220"/>
        <v>5266.11</v>
      </c>
      <c r="D327" s="9">
        <v>49</v>
      </c>
      <c r="E327" s="10">
        <v>7</v>
      </c>
      <c r="F327" s="476">
        <f t="shared" si="182"/>
        <v>126386.64</v>
      </c>
      <c r="G327" s="476">
        <f t="shared" si="183"/>
        <v>5266.11</v>
      </c>
      <c r="H327">
        <f t="shared" si="221"/>
        <v>132441.84</v>
      </c>
      <c r="I327">
        <f t="shared" si="222"/>
        <v>5518.41</v>
      </c>
      <c r="L327" t="s">
        <v>435</v>
      </c>
      <c r="M327" s="143">
        <f t="shared" si="223"/>
        <v>60.53</v>
      </c>
      <c r="N327" s="476">
        <f t="shared" si="188"/>
        <v>0</v>
      </c>
      <c r="O327" s="142">
        <f t="shared" si="184"/>
        <v>60.53</v>
      </c>
      <c r="P327" s="476">
        <f t="shared" si="185"/>
        <v>126386.64</v>
      </c>
      <c r="Q327" s="476"/>
      <c r="R327" s="476">
        <f t="shared" si="195"/>
        <v>0</v>
      </c>
      <c r="S327" s="476">
        <f t="shared" si="186"/>
        <v>60.53</v>
      </c>
      <c r="T327" s="478">
        <f t="shared" si="224"/>
        <v>126386.64</v>
      </c>
      <c r="U327" t="s">
        <v>435</v>
      </c>
      <c r="V327" s="478">
        <f t="shared" si="225"/>
        <v>0</v>
      </c>
      <c r="W327" s="142">
        <f t="shared" si="187"/>
        <v>0</v>
      </c>
      <c r="X327" s="1076"/>
    </row>
    <row r="328" spans="1:24" x14ac:dyDescent="0.2">
      <c r="A328" t="s">
        <v>436</v>
      </c>
      <c r="B328" s="478">
        <f t="shared" si="220"/>
        <v>132441.84</v>
      </c>
      <c r="C328" s="478">
        <f t="shared" si="220"/>
        <v>5518.41</v>
      </c>
      <c r="D328" s="9">
        <v>49</v>
      </c>
      <c r="E328" s="10">
        <v>8</v>
      </c>
      <c r="F328" s="476">
        <f t="shared" si="182"/>
        <v>132441.84</v>
      </c>
      <c r="G328" s="476">
        <f t="shared" si="183"/>
        <v>5518.41</v>
      </c>
      <c r="H328">
        <f t="shared" si="221"/>
        <v>138789.35999999999</v>
      </c>
      <c r="I328">
        <f t="shared" si="222"/>
        <v>5782.8899999999994</v>
      </c>
      <c r="L328" t="s">
        <v>436</v>
      </c>
      <c r="M328" s="143">
        <f t="shared" si="223"/>
        <v>63.43</v>
      </c>
      <c r="N328" s="476">
        <f t="shared" si="188"/>
        <v>0</v>
      </c>
      <c r="O328" s="142">
        <f t="shared" si="184"/>
        <v>63.43</v>
      </c>
      <c r="P328" s="476">
        <f t="shared" si="185"/>
        <v>132441.84</v>
      </c>
      <c r="Q328" s="476"/>
      <c r="R328" s="476">
        <f t="shared" si="195"/>
        <v>0</v>
      </c>
      <c r="S328" s="476">
        <f t="shared" si="186"/>
        <v>63.43</v>
      </c>
      <c r="T328" s="478">
        <f t="shared" si="224"/>
        <v>132441.84</v>
      </c>
      <c r="U328" t="s">
        <v>436</v>
      </c>
      <c r="V328" s="478">
        <f t="shared" si="225"/>
        <v>0</v>
      </c>
      <c r="W328" s="142">
        <f t="shared" si="187"/>
        <v>0</v>
      </c>
      <c r="X328" s="1076"/>
    </row>
    <row r="329" spans="1:24" x14ac:dyDescent="0.2">
      <c r="A329" t="s">
        <v>437</v>
      </c>
      <c r="B329" s="478">
        <f t="shared" si="220"/>
        <v>138789.35999999999</v>
      </c>
      <c r="C329" s="478">
        <f t="shared" si="220"/>
        <v>5782.8899999999994</v>
      </c>
      <c r="D329" s="9">
        <v>49</v>
      </c>
      <c r="E329" s="10">
        <v>9</v>
      </c>
      <c r="F329" s="476">
        <f t="shared" si="182"/>
        <v>138789.35999999999</v>
      </c>
      <c r="G329" s="476">
        <f t="shared" si="183"/>
        <v>5782.8899999999994</v>
      </c>
      <c r="H329">
        <f t="shared" si="221"/>
        <v>145470.96</v>
      </c>
      <c r="I329">
        <f t="shared" si="222"/>
        <v>6061.29</v>
      </c>
      <c r="L329" t="s">
        <v>437</v>
      </c>
      <c r="M329" s="143">
        <f t="shared" si="223"/>
        <v>66.47</v>
      </c>
      <c r="N329" s="476">
        <f t="shared" si="188"/>
        <v>0</v>
      </c>
      <c r="O329" s="142">
        <f t="shared" si="184"/>
        <v>66.47</v>
      </c>
      <c r="P329" s="476">
        <f t="shared" si="185"/>
        <v>138789.35999999999</v>
      </c>
      <c r="Q329" s="476"/>
      <c r="R329" s="476">
        <f t="shared" si="195"/>
        <v>0</v>
      </c>
      <c r="S329" s="476">
        <f t="shared" si="186"/>
        <v>66.47</v>
      </c>
      <c r="T329" s="478">
        <f t="shared" si="224"/>
        <v>138789.35999999999</v>
      </c>
      <c r="U329" t="s">
        <v>437</v>
      </c>
      <c r="V329" s="478">
        <f t="shared" si="225"/>
        <v>0</v>
      </c>
      <c r="W329" s="142">
        <f t="shared" si="187"/>
        <v>0</v>
      </c>
      <c r="X329" s="1076"/>
    </row>
    <row r="330" spans="1:24" x14ac:dyDescent="0.2">
      <c r="A330" t="s">
        <v>438</v>
      </c>
      <c r="B330" s="477">
        <f>P330</f>
        <v>145470.96</v>
      </c>
      <c r="C330" s="477">
        <f>B330/24</f>
        <v>6061.29</v>
      </c>
      <c r="D330" s="9">
        <v>49</v>
      </c>
      <c r="E330" s="10">
        <v>10</v>
      </c>
      <c r="F330" s="476">
        <f t="shared" si="182"/>
        <v>145470.96</v>
      </c>
      <c r="G330" s="476">
        <f t="shared" si="183"/>
        <v>6061.29</v>
      </c>
      <c r="H330">
        <f>F330</f>
        <v>145470.96</v>
      </c>
      <c r="I330">
        <f>G330</f>
        <v>6061.29</v>
      </c>
      <c r="L330" t="s">
        <v>438</v>
      </c>
      <c r="M330" s="612">
        <v>69.67</v>
      </c>
      <c r="N330" s="476">
        <f t="shared" si="188"/>
        <v>0</v>
      </c>
      <c r="O330" s="142">
        <f t="shared" si="184"/>
        <v>69.67</v>
      </c>
      <c r="P330" s="476">
        <f t="shared" si="185"/>
        <v>145470.96</v>
      </c>
      <c r="Q330" s="476"/>
      <c r="R330" s="476">
        <f t="shared" si="195"/>
        <v>0</v>
      </c>
      <c r="S330" s="476">
        <f t="shared" si="186"/>
        <v>69.67</v>
      </c>
      <c r="T330" s="477">
        <f>S330*$T$9</f>
        <v>145470.96</v>
      </c>
      <c r="U330" t="s">
        <v>438</v>
      </c>
      <c r="V330" s="142">
        <f>R330*2088</f>
        <v>0</v>
      </c>
      <c r="W330" s="142">
        <f t="shared" si="187"/>
        <v>0</v>
      </c>
      <c r="X330" s="1076"/>
    </row>
    <row r="331" spans="1:24" x14ac:dyDescent="0.2">
      <c r="A331" t="s">
        <v>439</v>
      </c>
      <c r="B331" s="478">
        <f t="shared" ref="B331:C339" si="226">B322</f>
        <v>100161.36</v>
      </c>
      <c r="C331" s="478">
        <f t="shared" si="226"/>
        <v>4173.3900000000003</v>
      </c>
      <c r="D331" s="9">
        <v>50</v>
      </c>
      <c r="E331" s="10" t="s">
        <v>23</v>
      </c>
      <c r="F331" s="476">
        <f t="shared" ref="F331:F390" si="227">B331</f>
        <v>100161.36</v>
      </c>
      <c r="G331" s="476">
        <f t="shared" ref="G331:G390" si="228">C331</f>
        <v>4173.3900000000003</v>
      </c>
      <c r="H331">
        <f t="shared" ref="H331:H339" si="229">F332</f>
        <v>104901.12000000001</v>
      </c>
      <c r="I331">
        <f t="shared" ref="I331:I339" si="230">G332</f>
        <v>4370.88</v>
      </c>
      <c r="L331" t="s">
        <v>439</v>
      </c>
      <c r="M331" s="143">
        <f t="shared" ref="M331:M339" si="231">M322</f>
        <v>47.97</v>
      </c>
      <c r="N331" s="476">
        <f t="shared" si="188"/>
        <v>0</v>
      </c>
      <c r="O331" s="142">
        <f t="shared" ref="O331:O390" si="232">M331+N331</f>
        <v>47.97</v>
      </c>
      <c r="P331" s="476">
        <f t="shared" ref="P331:P390" si="233">O331*$P$9</f>
        <v>100161.36</v>
      </c>
      <c r="Q331" s="476"/>
      <c r="R331" s="476">
        <f t="shared" si="195"/>
        <v>0</v>
      </c>
      <c r="S331" s="476">
        <f t="shared" ref="S331:S390" si="234">O331+R331</f>
        <v>47.97</v>
      </c>
      <c r="T331" s="478">
        <f t="shared" ref="T331:T339" si="235">T322</f>
        <v>100182.24</v>
      </c>
      <c r="U331" t="s">
        <v>439</v>
      </c>
      <c r="V331" s="478">
        <f t="shared" ref="V331:V339" si="236">V322</f>
        <v>20.88</v>
      </c>
      <c r="W331" s="142">
        <f t="shared" ref="W331:W390" si="237">T331-P331</f>
        <v>20.880000000004657</v>
      </c>
      <c r="X331" s="1076"/>
    </row>
    <row r="332" spans="1:24" x14ac:dyDescent="0.2">
      <c r="A332" t="s">
        <v>440</v>
      </c>
      <c r="B332" s="478">
        <f t="shared" si="226"/>
        <v>104901.12000000001</v>
      </c>
      <c r="C332" s="478">
        <f t="shared" si="226"/>
        <v>4370.88</v>
      </c>
      <c r="D332" s="9">
        <v>50</v>
      </c>
      <c r="E332" s="10">
        <v>2</v>
      </c>
      <c r="F332" s="476">
        <f t="shared" si="227"/>
        <v>104901.12000000001</v>
      </c>
      <c r="G332" s="476">
        <f t="shared" si="228"/>
        <v>4370.88</v>
      </c>
      <c r="H332">
        <f t="shared" si="229"/>
        <v>109849.68</v>
      </c>
      <c r="I332">
        <f t="shared" si="230"/>
        <v>4577.07</v>
      </c>
      <c r="L332" t="s">
        <v>440</v>
      </c>
      <c r="M332" s="143">
        <f t="shared" si="231"/>
        <v>50.24</v>
      </c>
      <c r="N332" s="476">
        <f t="shared" ref="N332:N390" si="238">ROUND(+M332*$N$9,2)</f>
        <v>0</v>
      </c>
      <c r="O332" s="142">
        <f t="shared" si="232"/>
        <v>50.24</v>
      </c>
      <c r="P332" s="476">
        <f t="shared" si="233"/>
        <v>104901.12000000001</v>
      </c>
      <c r="Q332" s="476"/>
      <c r="R332" s="476">
        <f t="shared" si="195"/>
        <v>0</v>
      </c>
      <c r="S332" s="476">
        <f t="shared" si="234"/>
        <v>50.24</v>
      </c>
      <c r="T332" s="478">
        <f t="shared" si="235"/>
        <v>104901.12000000001</v>
      </c>
      <c r="U332" t="s">
        <v>440</v>
      </c>
      <c r="V332" s="478">
        <f t="shared" si="236"/>
        <v>0</v>
      </c>
      <c r="W332" s="142">
        <f t="shared" si="237"/>
        <v>0</v>
      </c>
      <c r="X332" s="1076"/>
    </row>
    <row r="333" spans="1:24" x14ac:dyDescent="0.2">
      <c r="A333" t="s">
        <v>441</v>
      </c>
      <c r="B333" s="478">
        <f t="shared" si="226"/>
        <v>109849.68</v>
      </c>
      <c r="C333" s="478">
        <f t="shared" si="226"/>
        <v>4577.07</v>
      </c>
      <c r="D333" s="9">
        <v>50</v>
      </c>
      <c r="E333" s="10">
        <v>3</v>
      </c>
      <c r="F333" s="476">
        <f t="shared" si="227"/>
        <v>109849.68</v>
      </c>
      <c r="G333" s="476">
        <f t="shared" si="228"/>
        <v>4577.07</v>
      </c>
      <c r="H333">
        <f t="shared" si="229"/>
        <v>115090.56</v>
      </c>
      <c r="I333">
        <f t="shared" si="230"/>
        <v>4795.4399999999996</v>
      </c>
      <c r="L333" t="s">
        <v>441</v>
      </c>
      <c r="M333" s="143">
        <f t="shared" si="231"/>
        <v>52.61</v>
      </c>
      <c r="N333" s="476">
        <f t="shared" si="238"/>
        <v>0</v>
      </c>
      <c r="O333" s="142">
        <f t="shared" si="232"/>
        <v>52.61</v>
      </c>
      <c r="P333" s="476">
        <f t="shared" si="233"/>
        <v>109849.68</v>
      </c>
      <c r="Q333" s="476"/>
      <c r="R333" s="476">
        <f t="shared" si="195"/>
        <v>0</v>
      </c>
      <c r="S333" s="476">
        <f t="shared" si="234"/>
        <v>52.61</v>
      </c>
      <c r="T333" s="478">
        <f t="shared" si="235"/>
        <v>109849.68</v>
      </c>
      <c r="U333" t="s">
        <v>441</v>
      </c>
      <c r="V333" s="478">
        <f t="shared" si="236"/>
        <v>0</v>
      </c>
      <c r="W333" s="142">
        <f t="shared" si="237"/>
        <v>0</v>
      </c>
      <c r="X333" s="1076"/>
    </row>
    <row r="334" spans="1:24" x14ac:dyDescent="0.2">
      <c r="A334" t="s">
        <v>442</v>
      </c>
      <c r="B334" s="478">
        <f t="shared" si="226"/>
        <v>115090.56</v>
      </c>
      <c r="C334" s="478">
        <f t="shared" si="226"/>
        <v>4795.4399999999996</v>
      </c>
      <c r="D334" s="9">
        <v>50</v>
      </c>
      <c r="E334" s="10">
        <v>4</v>
      </c>
      <c r="F334" s="476">
        <f t="shared" si="227"/>
        <v>115090.56</v>
      </c>
      <c r="G334" s="476">
        <f t="shared" si="228"/>
        <v>4795.4399999999996</v>
      </c>
      <c r="H334">
        <f t="shared" si="229"/>
        <v>120582</v>
      </c>
      <c r="I334">
        <f t="shared" si="230"/>
        <v>5024.25</v>
      </c>
      <c r="L334" t="s">
        <v>442</v>
      </c>
      <c r="M334" s="143">
        <f t="shared" si="231"/>
        <v>55.12</v>
      </c>
      <c r="N334" s="476">
        <f t="shared" si="238"/>
        <v>0</v>
      </c>
      <c r="O334" s="142">
        <f t="shared" si="232"/>
        <v>55.12</v>
      </c>
      <c r="P334" s="476">
        <f t="shared" si="233"/>
        <v>115090.56</v>
      </c>
      <c r="Q334" s="476"/>
      <c r="R334" s="476">
        <f t="shared" si="195"/>
        <v>0</v>
      </c>
      <c r="S334" s="476">
        <f t="shared" si="234"/>
        <v>55.12</v>
      </c>
      <c r="T334" s="478">
        <f t="shared" si="235"/>
        <v>115090.56</v>
      </c>
      <c r="U334" t="s">
        <v>442</v>
      </c>
      <c r="V334" s="478">
        <f t="shared" si="236"/>
        <v>0</v>
      </c>
      <c r="W334" s="142">
        <f t="shared" si="237"/>
        <v>0</v>
      </c>
      <c r="X334" s="1076"/>
    </row>
    <row r="335" spans="1:24" x14ac:dyDescent="0.2">
      <c r="A335" t="s">
        <v>443</v>
      </c>
      <c r="B335" s="478">
        <f t="shared" si="226"/>
        <v>120582</v>
      </c>
      <c r="C335" s="478">
        <f t="shared" si="226"/>
        <v>5024.25</v>
      </c>
      <c r="D335" s="9">
        <v>50</v>
      </c>
      <c r="E335" s="10">
        <v>5</v>
      </c>
      <c r="F335" s="476">
        <f t="shared" si="227"/>
        <v>120582</v>
      </c>
      <c r="G335" s="476">
        <f t="shared" si="228"/>
        <v>5024.25</v>
      </c>
      <c r="H335">
        <f t="shared" si="229"/>
        <v>126386.64</v>
      </c>
      <c r="I335">
        <f t="shared" si="230"/>
        <v>5266.11</v>
      </c>
      <c r="L335" t="s">
        <v>443</v>
      </c>
      <c r="M335" s="143">
        <f t="shared" si="231"/>
        <v>57.75</v>
      </c>
      <c r="N335" s="476">
        <f t="shared" si="238"/>
        <v>0</v>
      </c>
      <c r="O335" s="142">
        <f t="shared" si="232"/>
        <v>57.75</v>
      </c>
      <c r="P335" s="476">
        <f t="shared" si="233"/>
        <v>120582</v>
      </c>
      <c r="Q335" s="476"/>
      <c r="R335" s="476">
        <f t="shared" si="195"/>
        <v>0</v>
      </c>
      <c r="S335" s="476">
        <f t="shared" si="234"/>
        <v>57.75</v>
      </c>
      <c r="T335" s="478">
        <f t="shared" si="235"/>
        <v>120582</v>
      </c>
      <c r="U335" t="s">
        <v>443</v>
      </c>
      <c r="V335" s="478">
        <f t="shared" si="236"/>
        <v>0</v>
      </c>
      <c r="W335" s="142">
        <f t="shared" si="237"/>
        <v>0</v>
      </c>
      <c r="X335" s="1076"/>
    </row>
    <row r="336" spans="1:24" x14ac:dyDescent="0.2">
      <c r="A336" t="s">
        <v>444</v>
      </c>
      <c r="B336" s="478">
        <f t="shared" si="226"/>
        <v>126386.64</v>
      </c>
      <c r="C336" s="478">
        <f t="shared" si="226"/>
        <v>5266.11</v>
      </c>
      <c r="D336" s="9">
        <v>50</v>
      </c>
      <c r="E336" s="10">
        <v>6</v>
      </c>
      <c r="F336" s="476">
        <f t="shared" si="227"/>
        <v>126386.64</v>
      </c>
      <c r="G336" s="476">
        <f t="shared" si="228"/>
        <v>5266.11</v>
      </c>
      <c r="H336">
        <f t="shared" si="229"/>
        <v>132441.84</v>
      </c>
      <c r="I336">
        <f t="shared" si="230"/>
        <v>5518.41</v>
      </c>
      <c r="L336" t="s">
        <v>444</v>
      </c>
      <c r="M336" s="143">
        <f t="shared" si="231"/>
        <v>60.53</v>
      </c>
      <c r="N336" s="476">
        <f t="shared" si="238"/>
        <v>0</v>
      </c>
      <c r="O336" s="142">
        <f t="shared" si="232"/>
        <v>60.53</v>
      </c>
      <c r="P336" s="476">
        <f t="shared" si="233"/>
        <v>126386.64</v>
      </c>
      <c r="Q336" s="476"/>
      <c r="R336" s="476">
        <f t="shared" si="195"/>
        <v>0</v>
      </c>
      <c r="S336" s="476">
        <f t="shared" si="234"/>
        <v>60.53</v>
      </c>
      <c r="T336" s="478">
        <f t="shared" si="235"/>
        <v>126386.64</v>
      </c>
      <c r="U336" t="s">
        <v>444</v>
      </c>
      <c r="V336" s="478">
        <f t="shared" si="236"/>
        <v>0</v>
      </c>
      <c r="W336" s="142">
        <f t="shared" si="237"/>
        <v>0</v>
      </c>
      <c r="X336" s="1076"/>
    </row>
    <row r="337" spans="1:24" x14ac:dyDescent="0.2">
      <c r="A337" t="s">
        <v>445</v>
      </c>
      <c r="B337" s="478">
        <f t="shared" si="226"/>
        <v>132441.84</v>
      </c>
      <c r="C337" s="478">
        <f t="shared" si="226"/>
        <v>5518.41</v>
      </c>
      <c r="D337" s="9">
        <v>50</v>
      </c>
      <c r="E337" s="10">
        <v>7</v>
      </c>
      <c r="F337" s="476">
        <f t="shared" si="227"/>
        <v>132441.84</v>
      </c>
      <c r="G337" s="476">
        <f t="shared" si="228"/>
        <v>5518.41</v>
      </c>
      <c r="H337">
        <f t="shared" si="229"/>
        <v>138789.35999999999</v>
      </c>
      <c r="I337">
        <f t="shared" si="230"/>
        <v>5782.8899999999994</v>
      </c>
      <c r="L337" t="s">
        <v>445</v>
      </c>
      <c r="M337" s="143">
        <f t="shared" si="231"/>
        <v>63.43</v>
      </c>
      <c r="N337" s="476">
        <f t="shared" si="238"/>
        <v>0</v>
      </c>
      <c r="O337" s="142">
        <f t="shared" si="232"/>
        <v>63.43</v>
      </c>
      <c r="P337" s="476">
        <f t="shared" si="233"/>
        <v>132441.84</v>
      </c>
      <c r="Q337" s="476"/>
      <c r="R337" s="476">
        <f t="shared" si="195"/>
        <v>0</v>
      </c>
      <c r="S337" s="476">
        <f t="shared" si="234"/>
        <v>63.43</v>
      </c>
      <c r="T337" s="478">
        <f t="shared" si="235"/>
        <v>132441.84</v>
      </c>
      <c r="U337" t="s">
        <v>445</v>
      </c>
      <c r="V337" s="478">
        <f t="shared" si="236"/>
        <v>0</v>
      </c>
      <c r="W337" s="142">
        <f t="shared" si="237"/>
        <v>0</v>
      </c>
      <c r="X337" s="1076"/>
    </row>
    <row r="338" spans="1:24" x14ac:dyDescent="0.2">
      <c r="A338" t="s">
        <v>446</v>
      </c>
      <c r="B338" s="478">
        <f t="shared" si="226"/>
        <v>138789.35999999999</v>
      </c>
      <c r="C338" s="478">
        <f t="shared" si="226"/>
        <v>5782.8899999999994</v>
      </c>
      <c r="D338" s="9">
        <v>50</v>
      </c>
      <c r="E338" s="10">
        <v>8</v>
      </c>
      <c r="F338" s="476">
        <f t="shared" si="227"/>
        <v>138789.35999999999</v>
      </c>
      <c r="G338" s="476">
        <f t="shared" si="228"/>
        <v>5782.8899999999994</v>
      </c>
      <c r="H338">
        <f t="shared" si="229"/>
        <v>145470.96</v>
      </c>
      <c r="I338">
        <f t="shared" si="230"/>
        <v>6061.29</v>
      </c>
      <c r="L338" t="s">
        <v>446</v>
      </c>
      <c r="M338" s="143">
        <f t="shared" si="231"/>
        <v>66.47</v>
      </c>
      <c r="N338" s="476">
        <f t="shared" si="238"/>
        <v>0</v>
      </c>
      <c r="O338" s="142">
        <f t="shared" si="232"/>
        <v>66.47</v>
      </c>
      <c r="P338" s="476">
        <f t="shared" si="233"/>
        <v>138789.35999999999</v>
      </c>
      <c r="Q338" s="476"/>
      <c r="R338" s="476">
        <f t="shared" si="195"/>
        <v>0</v>
      </c>
      <c r="S338" s="476">
        <f t="shared" si="234"/>
        <v>66.47</v>
      </c>
      <c r="T338" s="478">
        <f t="shared" si="235"/>
        <v>138789.35999999999</v>
      </c>
      <c r="U338" t="s">
        <v>446</v>
      </c>
      <c r="V338" s="478">
        <f t="shared" si="236"/>
        <v>0</v>
      </c>
      <c r="W338" s="142">
        <f t="shared" si="237"/>
        <v>0</v>
      </c>
      <c r="X338" s="1076"/>
    </row>
    <row r="339" spans="1:24" x14ac:dyDescent="0.2">
      <c r="A339" t="s">
        <v>447</v>
      </c>
      <c r="B339" s="478">
        <f t="shared" si="226"/>
        <v>145470.96</v>
      </c>
      <c r="C339" s="478">
        <f t="shared" si="226"/>
        <v>6061.29</v>
      </c>
      <c r="D339" s="9">
        <v>50</v>
      </c>
      <c r="E339" s="10">
        <v>9</v>
      </c>
      <c r="F339" s="476">
        <f t="shared" si="227"/>
        <v>145470.96</v>
      </c>
      <c r="G339" s="476">
        <f t="shared" si="228"/>
        <v>6061.29</v>
      </c>
      <c r="H339">
        <f t="shared" si="229"/>
        <v>152424</v>
      </c>
      <c r="I339">
        <f t="shared" si="230"/>
        <v>6351</v>
      </c>
      <c r="L339" t="s">
        <v>447</v>
      </c>
      <c r="M339" s="143">
        <f t="shared" si="231"/>
        <v>69.67</v>
      </c>
      <c r="N339" s="476">
        <f t="shared" si="238"/>
        <v>0</v>
      </c>
      <c r="O339" s="142">
        <f t="shared" si="232"/>
        <v>69.67</v>
      </c>
      <c r="P339" s="476">
        <f t="shared" si="233"/>
        <v>145470.96</v>
      </c>
      <c r="Q339" s="476"/>
      <c r="R339" s="476">
        <f t="shared" si="195"/>
        <v>0</v>
      </c>
      <c r="S339" s="476">
        <f t="shared" si="234"/>
        <v>69.67</v>
      </c>
      <c r="T339" s="478">
        <f t="shared" si="235"/>
        <v>145470.96</v>
      </c>
      <c r="U339" t="s">
        <v>447</v>
      </c>
      <c r="V339" s="478">
        <f t="shared" si="236"/>
        <v>0</v>
      </c>
      <c r="W339" s="142">
        <f t="shared" si="237"/>
        <v>0</v>
      </c>
      <c r="X339" s="1076"/>
    </row>
    <row r="340" spans="1:24" x14ac:dyDescent="0.2">
      <c r="A340" t="s">
        <v>448</v>
      </c>
      <c r="B340" s="477">
        <f>P340</f>
        <v>152424</v>
      </c>
      <c r="C340" s="477">
        <f>B340/24</f>
        <v>6351</v>
      </c>
      <c r="D340" s="9">
        <v>50</v>
      </c>
      <c r="E340" s="10">
        <v>10</v>
      </c>
      <c r="F340" s="476">
        <f t="shared" si="227"/>
        <v>152424</v>
      </c>
      <c r="G340" s="476">
        <f t="shared" si="228"/>
        <v>6351</v>
      </c>
      <c r="H340">
        <f>F340</f>
        <v>152424</v>
      </c>
      <c r="I340">
        <f>G340</f>
        <v>6351</v>
      </c>
      <c r="L340" t="s">
        <v>448</v>
      </c>
      <c r="M340" s="612">
        <v>73</v>
      </c>
      <c r="N340" s="476">
        <f t="shared" si="238"/>
        <v>0</v>
      </c>
      <c r="O340" s="142">
        <f t="shared" si="232"/>
        <v>73</v>
      </c>
      <c r="P340" s="476">
        <f t="shared" si="233"/>
        <v>152424</v>
      </c>
      <c r="Q340" s="476"/>
      <c r="R340" s="476">
        <f t="shared" si="195"/>
        <v>0</v>
      </c>
      <c r="S340" s="476">
        <f t="shared" si="234"/>
        <v>73</v>
      </c>
      <c r="T340" s="477">
        <f>S340*$T$9</f>
        <v>152424</v>
      </c>
      <c r="U340" t="s">
        <v>448</v>
      </c>
      <c r="V340" s="142">
        <f>R340*2088</f>
        <v>0</v>
      </c>
      <c r="W340" s="142">
        <f t="shared" si="237"/>
        <v>0</v>
      </c>
      <c r="X340" s="1076"/>
    </row>
    <row r="341" spans="1:24" x14ac:dyDescent="0.2">
      <c r="A341" t="s">
        <v>449</v>
      </c>
      <c r="B341" s="478">
        <f t="shared" ref="B341:C349" si="239">B332</f>
        <v>104901.12000000001</v>
      </c>
      <c r="C341" s="478">
        <f t="shared" si="239"/>
        <v>4370.88</v>
      </c>
      <c r="D341" s="9">
        <v>51</v>
      </c>
      <c r="E341" s="10" t="s">
        <v>23</v>
      </c>
      <c r="F341" s="476">
        <f t="shared" si="227"/>
        <v>104901.12000000001</v>
      </c>
      <c r="G341" s="476">
        <f t="shared" si="228"/>
        <v>4370.88</v>
      </c>
      <c r="H341">
        <f t="shared" ref="H341:H349" si="240">F342</f>
        <v>109849.68</v>
      </c>
      <c r="I341">
        <f t="shared" ref="I341:I349" si="241">G342</f>
        <v>4577.07</v>
      </c>
      <c r="L341" t="s">
        <v>449</v>
      </c>
      <c r="M341" s="143">
        <f t="shared" ref="M341:M349" si="242">M332</f>
        <v>50.24</v>
      </c>
      <c r="N341" s="476">
        <f t="shared" si="238"/>
        <v>0</v>
      </c>
      <c r="O341" s="142">
        <f t="shared" si="232"/>
        <v>50.24</v>
      </c>
      <c r="P341" s="476">
        <f t="shared" si="233"/>
        <v>104901.12000000001</v>
      </c>
      <c r="Q341" s="476"/>
      <c r="R341" s="476">
        <f t="shared" ref="R341:R390" si="243">ROUND(+M341*$R$9,2)</f>
        <v>0</v>
      </c>
      <c r="S341" s="476">
        <f t="shared" si="234"/>
        <v>50.24</v>
      </c>
      <c r="T341" s="478">
        <f t="shared" ref="T341:T349" si="244">T332</f>
        <v>104901.12000000001</v>
      </c>
      <c r="U341" t="s">
        <v>449</v>
      </c>
      <c r="V341" s="478">
        <f t="shared" ref="V341:V349" si="245">V332</f>
        <v>0</v>
      </c>
      <c r="W341" s="142">
        <f t="shared" si="237"/>
        <v>0</v>
      </c>
      <c r="X341" s="1076"/>
    </row>
    <row r="342" spans="1:24" x14ac:dyDescent="0.2">
      <c r="A342" t="s">
        <v>450</v>
      </c>
      <c r="B342" s="478">
        <f t="shared" si="239"/>
        <v>109849.68</v>
      </c>
      <c r="C342" s="478">
        <f t="shared" si="239"/>
        <v>4577.07</v>
      </c>
      <c r="D342" s="9">
        <v>51</v>
      </c>
      <c r="E342" s="10">
        <v>2</v>
      </c>
      <c r="F342" s="476">
        <f t="shared" si="227"/>
        <v>109849.68</v>
      </c>
      <c r="G342" s="476">
        <f t="shared" si="228"/>
        <v>4577.07</v>
      </c>
      <c r="H342">
        <f t="shared" si="240"/>
        <v>115090.56</v>
      </c>
      <c r="I342">
        <f t="shared" si="241"/>
        <v>4795.4399999999996</v>
      </c>
      <c r="L342" t="s">
        <v>450</v>
      </c>
      <c r="M342" s="143">
        <f t="shared" si="242"/>
        <v>52.61</v>
      </c>
      <c r="N342" s="476">
        <f t="shared" si="238"/>
        <v>0</v>
      </c>
      <c r="O342" s="142">
        <f t="shared" si="232"/>
        <v>52.61</v>
      </c>
      <c r="P342" s="476">
        <f t="shared" si="233"/>
        <v>109849.68</v>
      </c>
      <c r="Q342" s="476"/>
      <c r="R342" s="476">
        <f t="shared" si="243"/>
        <v>0</v>
      </c>
      <c r="S342" s="476">
        <f t="shared" si="234"/>
        <v>52.61</v>
      </c>
      <c r="T342" s="478">
        <f t="shared" si="244"/>
        <v>109849.68</v>
      </c>
      <c r="U342" t="s">
        <v>450</v>
      </c>
      <c r="V342" s="478">
        <f t="shared" si="245"/>
        <v>0</v>
      </c>
      <c r="W342" s="142">
        <f t="shared" si="237"/>
        <v>0</v>
      </c>
      <c r="X342" s="1076"/>
    </row>
    <row r="343" spans="1:24" x14ac:dyDescent="0.2">
      <c r="A343" t="s">
        <v>451</v>
      </c>
      <c r="B343" s="478">
        <f t="shared" si="239"/>
        <v>115090.56</v>
      </c>
      <c r="C343" s="478">
        <f t="shared" si="239"/>
        <v>4795.4399999999996</v>
      </c>
      <c r="D343" s="9">
        <v>51</v>
      </c>
      <c r="E343" s="10">
        <v>3</v>
      </c>
      <c r="F343" s="476">
        <f t="shared" si="227"/>
        <v>115090.56</v>
      </c>
      <c r="G343" s="476">
        <f t="shared" si="228"/>
        <v>4795.4399999999996</v>
      </c>
      <c r="H343">
        <f t="shared" si="240"/>
        <v>120582</v>
      </c>
      <c r="I343">
        <f t="shared" si="241"/>
        <v>5024.25</v>
      </c>
      <c r="L343" t="s">
        <v>451</v>
      </c>
      <c r="M343" s="143">
        <f t="shared" si="242"/>
        <v>55.12</v>
      </c>
      <c r="N343" s="476">
        <f t="shared" si="238"/>
        <v>0</v>
      </c>
      <c r="O343" s="142">
        <f t="shared" si="232"/>
        <v>55.12</v>
      </c>
      <c r="P343" s="476">
        <f t="shared" si="233"/>
        <v>115090.56</v>
      </c>
      <c r="Q343" s="476"/>
      <c r="R343" s="476">
        <f t="shared" si="243"/>
        <v>0</v>
      </c>
      <c r="S343" s="476">
        <f t="shared" si="234"/>
        <v>55.12</v>
      </c>
      <c r="T343" s="478">
        <f t="shared" si="244"/>
        <v>115090.56</v>
      </c>
      <c r="U343" t="s">
        <v>451</v>
      </c>
      <c r="V343" s="478">
        <f t="shared" si="245"/>
        <v>0</v>
      </c>
      <c r="W343" s="142">
        <f t="shared" si="237"/>
        <v>0</v>
      </c>
      <c r="X343" s="1076"/>
    </row>
    <row r="344" spans="1:24" x14ac:dyDescent="0.2">
      <c r="A344" t="s">
        <v>452</v>
      </c>
      <c r="B344" s="478">
        <f t="shared" si="239"/>
        <v>120582</v>
      </c>
      <c r="C344" s="478">
        <f t="shared" si="239"/>
        <v>5024.25</v>
      </c>
      <c r="D344" s="9">
        <v>51</v>
      </c>
      <c r="E344" s="10">
        <v>4</v>
      </c>
      <c r="F344" s="476">
        <f t="shared" si="227"/>
        <v>120582</v>
      </c>
      <c r="G344" s="476">
        <f t="shared" si="228"/>
        <v>5024.25</v>
      </c>
      <c r="H344">
        <f t="shared" si="240"/>
        <v>126386.64</v>
      </c>
      <c r="I344">
        <f t="shared" si="241"/>
        <v>5266.11</v>
      </c>
      <c r="L344" t="s">
        <v>452</v>
      </c>
      <c r="M344" s="143">
        <f t="shared" si="242"/>
        <v>57.75</v>
      </c>
      <c r="N344" s="476">
        <f t="shared" si="238"/>
        <v>0</v>
      </c>
      <c r="O344" s="142">
        <f t="shared" si="232"/>
        <v>57.75</v>
      </c>
      <c r="P344" s="476">
        <f t="shared" si="233"/>
        <v>120582</v>
      </c>
      <c r="Q344" s="476"/>
      <c r="R344" s="476">
        <f t="shared" si="243"/>
        <v>0</v>
      </c>
      <c r="S344" s="476">
        <f t="shared" si="234"/>
        <v>57.75</v>
      </c>
      <c r="T344" s="478">
        <f t="shared" si="244"/>
        <v>120582</v>
      </c>
      <c r="U344" t="s">
        <v>452</v>
      </c>
      <c r="V344" s="478">
        <f t="shared" si="245"/>
        <v>0</v>
      </c>
      <c r="W344" s="142">
        <f t="shared" si="237"/>
        <v>0</v>
      </c>
      <c r="X344" s="1076"/>
    </row>
    <row r="345" spans="1:24" x14ac:dyDescent="0.2">
      <c r="A345" t="s">
        <v>453</v>
      </c>
      <c r="B345" s="478">
        <f t="shared" si="239"/>
        <v>126386.64</v>
      </c>
      <c r="C345" s="478">
        <f t="shared" si="239"/>
        <v>5266.11</v>
      </c>
      <c r="D345" s="9">
        <v>51</v>
      </c>
      <c r="E345" s="10">
        <v>5</v>
      </c>
      <c r="F345" s="476">
        <f t="shared" si="227"/>
        <v>126386.64</v>
      </c>
      <c r="G345" s="476">
        <f t="shared" si="228"/>
        <v>5266.11</v>
      </c>
      <c r="H345">
        <f t="shared" si="240"/>
        <v>132441.84</v>
      </c>
      <c r="I345">
        <f t="shared" si="241"/>
        <v>5518.41</v>
      </c>
      <c r="L345" t="s">
        <v>453</v>
      </c>
      <c r="M345" s="143">
        <f t="shared" si="242"/>
        <v>60.53</v>
      </c>
      <c r="N345" s="476">
        <f t="shared" si="238"/>
        <v>0</v>
      </c>
      <c r="O345" s="142">
        <f t="shared" si="232"/>
        <v>60.53</v>
      </c>
      <c r="P345" s="476">
        <f t="shared" si="233"/>
        <v>126386.64</v>
      </c>
      <c r="Q345" s="476"/>
      <c r="R345" s="476">
        <f t="shared" si="243"/>
        <v>0</v>
      </c>
      <c r="S345" s="476">
        <f t="shared" si="234"/>
        <v>60.53</v>
      </c>
      <c r="T345" s="478">
        <f t="shared" si="244"/>
        <v>126386.64</v>
      </c>
      <c r="U345" t="s">
        <v>453</v>
      </c>
      <c r="V345" s="478">
        <f t="shared" si="245"/>
        <v>0</v>
      </c>
      <c r="W345" s="142">
        <f t="shared" si="237"/>
        <v>0</v>
      </c>
      <c r="X345" s="1076"/>
    </row>
    <row r="346" spans="1:24" x14ac:dyDescent="0.2">
      <c r="A346" t="s">
        <v>454</v>
      </c>
      <c r="B346" s="478">
        <f t="shared" si="239"/>
        <v>132441.84</v>
      </c>
      <c r="C346" s="478">
        <f t="shared" si="239"/>
        <v>5518.41</v>
      </c>
      <c r="D346" s="9">
        <v>51</v>
      </c>
      <c r="E346" s="10">
        <v>6</v>
      </c>
      <c r="F346" s="476">
        <f t="shared" si="227"/>
        <v>132441.84</v>
      </c>
      <c r="G346" s="476">
        <f t="shared" si="228"/>
        <v>5518.41</v>
      </c>
      <c r="H346">
        <f t="shared" si="240"/>
        <v>138789.35999999999</v>
      </c>
      <c r="I346">
        <f t="shared" si="241"/>
        <v>5782.8899999999994</v>
      </c>
      <c r="L346" t="s">
        <v>454</v>
      </c>
      <c r="M346" s="143">
        <f t="shared" si="242"/>
        <v>63.43</v>
      </c>
      <c r="N346" s="476">
        <f t="shared" si="238"/>
        <v>0</v>
      </c>
      <c r="O346" s="142">
        <f t="shared" si="232"/>
        <v>63.43</v>
      </c>
      <c r="P346" s="476">
        <f t="shared" si="233"/>
        <v>132441.84</v>
      </c>
      <c r="Q346" s="476"/>
      <c r="R346" s="476">
        <f t="shared" si="243"/>
        <v>0</v>
      </c>
      <c r="S346" s="476">
        <f t="shared" si="234"/>
        <v>63.43</v>
      </c>
      <c r="T346" s="478">
        <f t="shared" si="244"/>
        <v>132441.84</v>
      </c>
      <c r="U346" t="s">
        <v>454</v>
      </c>
      <c r="V346" s="478">
        <f t="shared" si="245"/>
        <v>0</v>
      </c>
      <c r="W346" s="142">
        <f t="shared" si="237"/>
        <v>0</v>
      </c>
      <c r="X346" s="1076"/>
    </row>
    <row r="347" spans="1:24" x14ac:dyDescent="0.2">
      <c r="A347" t="s">
        <v>455</v>
      </c>
      <c r="B347" s="478">
        <f t="shared" si="239"/>
        <v>138789.35999999999</v>
      </c>
      <c r="C347" s="478">
        <f t="shared" si="239"/>
        <v>5782.8899999999994</v>
      </c>
      <c r="D347" s="9">
        <v>51</v>
      </c>
      <c r="E347" s="10">
        <v>7</v>
      </c>
      <c r="F347" s="476">
        <f t="shared" si="227"/>
        <v>138789.35999999999</v>
      </c>
      <c r="G347" s="476">
        <f t="shared" si="228"/>
        <v>5782.8899999999994</v>
      </c>
      <c r="H347">
        <f t="shared" si="240"/>
        <v>145470.96</v>
      </c>
      <c r="I347">
        <f t="shared" si="241"/>
        <v>6061.29</v>
      </c>
      <c r="L347" t="s">
        <v>455</v>
      </c>
      <c r="M347" s="143">
        <f t="shared" si="242"/>
        <v>66.47</v>
      </c>
      <c r="N347" s="476">
        <f t="shared" si="238"/>
        <v>0</v>
      </c>
      <c r="O347" s="142">
        <f t="shared" si="232"/>
        <v>66.47</v>
      </c>
      <c r="P347" s="476">
        <f t="shared" si="233"/>
        <v>138789.35999999999</v>
      </c>
      <c r="Q347" s="476"/>
      <c r="R347" s="476">
        <f t="shared" si="243"/>
        <v>0</v>
      </c>
      <c r="S347" s="476">
        <f t="shared" si="234"/>
        <v>66.47</v>
      </c>
      <c r="T347" s="478">
        <f t="shared" si="244"/>
        <v>138789.35999999999</v>
      </c>
      <c r="U347" t="s">
        <v>455</v>
      </c>
      <c r="V347" s="478">
        <f t="shared" si="245"/>
        <v>0</v>
      </c>
      <c r="W347" s="142">
        <f t="shared" si="237"/>
        <v>0</v>
      </c>
      <c r="X347" s="1076"/>
    </row>
    <row r="348" spans="1:24" x14ac:dyDescent="0.2">
      <c r="A348" t="s">
        <v>456</v>
      </c>
      <c r="B348" s="478">
        <f t="shared" si="239"/>
        <v>145470.96</v>
      </c>
      <c r="C348" s="478">
        <f t="shared" si="239"/>
        <v>6061.29</v>
      </c>
      <c r="D348" s="9">
        <v>51</v>
      </c>
      <c r="E348" s="10">
        <v>8</v>
      </c>
      <c r="F348" s="476">
        <f t="shared" si="227"/>
        <v>145470.96</v>
      </c>
      <c r="G348" s="476">
        <f t="shared" si="228"/>
        <v>6061.29</v>
      </c>
      <c r="H348">
        <f t="shared" si="240"/>
        <v>152424</v>
      </c>
      <c r="I348">
        <f t="shared" si="241"/>
        <v>6351</v>
      </c>
      <c r="L348" t="s">
        <v>456</v>
      </c>
      <c r="M348" s="143">
        <f t="shared" si="242"/>
        <v>69.67</v>
      </c>
      <c r="N348" s="476">
        <f t="shared" si="238"/>
        <v>0</v>
      </c>
      <c r="O348" s="142">
        <f t="shared" si="232"/>
        <v>69.67</v>
      </c>
      <c r="P348" s="476">
        <f t="shared" si="233"/>
        <v>145470.96</v>
      </c>
      <c r="Q348" s="476"/>
      <c r="R348" s="476">
        <f t="shared" si="243"/>
        <v>0</v>
      </c>
      <c r="S348" s="476">
        <f t="shared" si="234"/>
        <v>69.67</v>
      </c>
      <c r="T348" s="478">
        <f t="shared" si="244"/>
        <v>145470.96</v>
      </c>
      <c r="U348" t="s">
        <v>456</v>
      </c>
      <c r="V348" s="478">
        <f t="shared" si="245"/>
        <v>0</v>
      </c>
      <c r="W348" s="142">
        <f t="shared" si="237"/>
        <v>0</v>
      </c>
      <c r="X348" s="1076"/>
    </row>
    <row r="349" spans="1:24" x14ac:dyDescent="0.2">
      <c r="A349" t="s">
        <v>457</v>
      </c>
      <c r="B349" s="478">
        <f t="shared" si="239"/>
        <v>152424</v>
      </c>
      <c r="C349" s="478">
        <f t="shared" si="239"/>
        <v>6351</v>
      </c>
      <c r="D349" s="9">
        <v>51</v>
      </c>
      <c r="E349" s="10">
        <v>9</v>
      </c>
      <c r="F349" s="476">
        <f t="shared" si="227"/>
        <v>152424</v>
      </c>
      <c r="G349" s="476">
        <f t="shared" si="228"/>
        <v>6351</v>
      </c>
      <c r="H349">
        <f t="shared" si="240"/>
        <v>159878.15999999997</v>
      </c>
      <c r="I349">
        <f t="shared" si="241"/>
        <v>6661.5899999999992</v>
      </c>
      <c r="L349" t="s">
        <v>457</v>
      </c>
      <c r="M349" s="143">
        <f t="shared" si="242"/>
        <v>73</v>
      </c>
      <c r="N349" s="476">
        <f t="shared" si="238"/>
        <v>0</v>
      </c>
      <c r="O349" s="142">
        <f t="shared" si="232"/>
        <v>73</v>
      </c>
      <c r="P349" s="476">
        <f t="shared" si="233"/>
        <v>152424</v>
      </c>
      <c r="Q349" s="476"/>
      <c r="R349" s="476">
        <f t="shared" si="243"/>
        <v>0</v>
      </c>
      <c r="S349" s="476">
        <f t="shared" si="234"/>
        <v>73</v>
      </c>
      <c r="T349" s="478">
        <f t="shared" si="244"/>
        <v>152424</v>
      </c>
      <c r="U349" t="s">
        <v>457</v>
      </c>
      <c r="V349" s="478">
        <f t="shared" si="245"/>
        <v>0</v>
      </c>
      <c r="W349" s="142">
        <f t="shared" si="237"/>
        <v>0</v>
      </c>
      <c r="X349" s="1076"/>
    </row>
    <row r="350" spans="1:24" x14ac:dyDescent="0.2">
      <c r="A350" t="s">
        <v>458</v>
      </c>
      <c r="B350" s="477">
        <f>P350</f>
        <v>159878.15999999997</v>
      </c>
      <c r="C350" s="477">
        <f>B350/24</f>
        <v>6661.5899999999992</v>
      </c>
      <c r="D350" s="9">
        <v>51</v>
      </c>
      <c r="E350" s="10">
        <v>10</v>
      </c>
      <c r="F350" s="476">
        <f t="shared" si="227"/>
        <v>159878.15999999997</v>
      </c>
      <c r="G350" s="476">
        <f t="shared" si="228"/>
        <v>6661.5899999999992</v>
      </c>
      <c r="H350">
        <f>F350</f>
        <v>159878.15999999997</v>
      </c>
      <c r="I350">
        <f>G350</f>
        <v>6661.5899999999992</v>
      </c>
      <c r="L350" t="s">
        <v>458</v>
      </c>
      <c r="M350" s="612">
        <v>76.569999999999993</v>
      </c>
      <c r="N350" s="476">
        <f t="shared" si="238"/>
        <v>0</v>
      </c>
      <c r="O350" s="142">
        <f t="shared" si="232"/>
        <v>76.569999999999993</v>
      </c>
      <c r="P350" s="476">
        <f t="shared" si="233"/>
        <v>159878.15999999997</v>
      </c>
      <c r="Q350" s="476"/>
      <c r="R350" s="476">
        <f t="shared" si="243"/>
        <v>0</v>
      </c>
      <c r="S350" s="476">
        <f t="shared" si="234"/>
        <v>76.569999999999993</v>
      </c>
      <c r="T350" s="477">
        <f>S350*$T$9</f>
        <v>159878.15999999997</v>
      </c>
      <c r="U350" t="s">
        <v>458</v>
      </c>
      <c r="V350" s="142">
        <f>R350*2088</f>
        <v>0</v>
      </c>
      <c r="W350" s="142">
        <f t="shared" si="237"/>
        <v>0</v>
      </c>
      <c r="X350" s="1076"/>
    </row>
    <row r="351" spans="1:24" x14ac:dyDescent="0.2">
      <c r="A351" t="s">
        <v>459</v>
      </c>
      <c r="B351" s="478">
        <f t="shared" ref="B351:C359" si="246">B342</f>
        <v>109849.68</v>
      </c>
      <c r="C351" s="478">
        <f t="shared" si="246"/>
        <v>4577.07</v>
      </c>
      <c r="D351" s="9">
        <v>52</v>
      </c>
      <c r="E351" s="10" t="s">
        <v>23</v>
      </c>
      <c r="F351" s="476">
        <f t="shared" si="227"/>
        <v>109849.68</v>
      </c>
      <c r="G351" s="476">
        <f t="shared" si="228"/>
        <v>4577.07</v>
      </c>
      <c r="H351">
        <f t="shared" ref="H351:H359" si="247">F352</f>
        <v>115090.56</v>
      </c>
      <c r="I351">
        <f t="shared" ref="I351:I359" si="248">G352</f>
        <v>4795.4399999999996</v>
      </c>
      <c r="L351" t="s">
        <v>459</v>
      </c>
      <c r="M351" s="143">
        <f t="shared" ref="M351:M359" si="249">M342</f>
        <v>52.61</v>
      </c>
      <c r="N351" s="476">
        <f t="shared" si="238"/>
        <v>0</v>
      </c>
      <c r="O351" s="142">
        <f t="shared" si="232"/>
        <v>52.61</v>
      </c>
      <c r="P351" s="476">
        <f t="shared" si="233"/>
        <v>109849.68</v>
      </c>
      <c r="Q351" s="476"/>
      <c r="R351" s="476">
        <f t="shared" si="243"/>
        <v>0</v>
      </c>
      <c r="S351" s="476">
        <f t="shared" si="234"/>
        <v>52.61</v>
      </c>
      <c r="T351" s="478">
        <f t="shared" ref="T351:T359" si="250">T342</f>
        <v>109849.68</v>
      </c>
      <c r="U351" t="s">
        <v>459</v>
      </c>
      <c r="V351" s="478">
        <f t="shared" ref="V351:V359" si="251">V342</f>
        <v>0</v>
      </c>
      <c r="W351" s="142">
        <f t="shared" si="237"/>
        <v>0</v>
      </c>
      <c r="X351" s="1076"/>
    </row>
    <row r="352" spans="1:24" x14ac:dyDescent="0.2">
      <c r="A352" t="s">
        <v>460</v>
      </c>
      <c r="B352" s="478">
        <f t="shared" si="246"/>
        <v>115090.56</v>
      </c>
      <c r="C352" s="478">
        <f t="shared" si="246"/>
        <v>4795.4399999999996</v>
      </c>
      <c r="D352" s="9">
        <v>52</v>
      </c>
      <c r="E352" s="10">
        <v>2</v>
      </c>
      <c r="F352" s="476">
        <f t="shared" si="227"/>
        <v>115090.56</v>
      </c>
      <c r="G352" s="476">
        <f t="shared" si="228"/>
        <v>4795.4399999999996</v>
      </c>
      <c r="H352">
        <f t="shared" si="247"/>
        <v>120582</v>
      </c>
      <c r="I352">
        <f t="shared" si="248"/>
        <v>5024.25</v>
      </c>
      <c r="L352" t="s">
        <v>460</v>
      </c>
      <c r="M352" s="143">
        <f t="shared" si="249"/>
        <v>55.12</v>
      </c>
      <c r="N352" s="476">
        <f t="shared" si="238"/>
        <v>0</v>
      </c>
      <c r="O352" s="142">
        <f t="shared" si="232"/>
        <v>55.12</v>
      </c>
      <c r="P352" s="476">
        <f t="shared" si="233"/>
        <v>115090.56</v>
      </c>
      <c r="Q352" s="476"/>
      <c r="R352" s="476">
        <f t="shared" si="243"/>
        <v>0</v>
      </c>
      <c r="S352" s="476">
        <f t="shared" si="234"/>
        <v>55.12</v>
      </c>
      <c r="T352" s="478">
        <f t="shared" si="250"/>
        <v>115090.56</v>
      </c>
      <c r="U352" t="s">
        <v>460</v>
      </c>
      <c r="V352" s="478">
        <f t="shared" si="251"/>
        <v>0</v>
      </c>
      <c r="W352" s="142">
        <f t="shared" si="237"/>
        <v>0</v>
      </c>
      <c r="X352" s="1076"/>
    </row>
    <row r="353" spans="1:24" x14ac:dyDescent="0.2">
      <c r="A353" t="s">
        <v>461</v>
      </c>
      <c r="B353" s="478">
        <f t="shared" si="246"/>
        <v>120582</v>
      </c>
      <c r="C353" s="478">
        <f t="shared" si="246"/>
        <v>5024.25</v>
      </c>
      <c r="D353" s="9">
        <v>52</v>
      </c>
      <c r="E353" s="10">
        <v>3</v>
      </c>
      <c r="F353" s="476">
        <f t="shared" si="227"/>
        <v>120582</v>
      </c>
      <c r="G353" s="476">
        <f t="shared" si="228"/>
        <v>5024.25</v>
      </c>
      <c r="H353">
        <f t="shared" si="247"/>
        <v>126386.64</v>
      </c>
      <c r="I353">
        <f t="shared" si="248"/>
        <v>5266.11</v>
      </c>
      <c r="L353" t="s">
        <v>461</v>
      </c>
      <c r="M353" s="143">
        <f t="shared" si="249"/>
        <v>57.75</v>
      </c>
      <c r="N353" s="476">
        <f t="shared" si="238"/>
        <v>0</v>
      </c>
      <c r="O353" s="142">
        <f t="shared" si="232"/>
        <v>57.75</v>
      </c>
      <c r="P353" s="476">
        <f t="shared" si="233"/>
        <v>120582</v>
      </c>
      <c r="Q353" s="476"/>
      <c r="R353" s="476">
        <f t="shared" si="243"/>
        <v>0</v>
      </c>
      <c r="S353" s="476">
        <f t="shared" si="234"/>
        <v>57.75</v>
      </c>
      <c r="T353" s="478">
        <f t="shared" si="250"/>
        <v>120582</v>
      </c>
      <c r="U353" t="s">
        <v>461</v>
      </c>
      <c r="V353" s="478">
        <f t="shared" si="251"/>
        <v>0</v>
      </c>
      <c r="W353" s="142">
        <f t="shared" si="237"/>
        <v>0</v>
      </c>
      <c r="X353" s="1076"/>
    </row>
    <row r="354" spans="1:24" x14ac:dyDescent="0.2">
      <c r="A354" t="s">
        <v>462</v>
      </c>
      <c r="B354" s="478">
        <f t="shared" si="246"/>
        <v>126386.64</v>
      </c>
      <c r="C354" s="478">
        <f t="shared" si="246"/>
        <v>5266.11</v>
      </c>
      <c r="D354" s="9">
        <v>52</v>
      </c>
      <c r="E354" s="10">
        <v>4</v>
      </c>
      <c r="F354" s="476">
        <f t="shared" si="227"/>
        <v>126386.64</v>
      </c>
      <c r="G354" s="476">
        <f t="shared" si="228"/>
        <v>5266.11</v>
      </c>
      <c r="H354">
        <f t="shared" si="247"/>
        <v>132441.84</v>
      </c>
      <c r="I354">
        <f t="shared" si="248"/>
        <v>5518.41</v>
      </c>
      <c r="L354" t="s">
        <v>462</v>
      </c>
      <c r="M354" s="143">
        <f t="shared" si="249"/>
        <v>60.53</v>
      </c>
      <c r="N354" s="476">
        <f t="shared" si="238"/>
        <v>0</v>
      </c>
      <c r="O354" s="142">
        <f t="shared" si="232"/>
        <v>60.53</v>
      </c>
      <c r="P354" s="476">
        <f t="shared" si="233"/>
        <v>126386.64</v>
      </c>
      <c r="Q354" s="476"/>
      <c r="R354" s="476">
        <f t="shared" si="243"/>
        <v>0</v>
      </c>
      <c r="S354" s="476">
        <f t="shared" si="234"/>
        <v>60.53</v>
      </c>
      <c r="T354" s="478">
        <f t="shared" si="250"/>
        <v>126386.64</v>
      </c>
      <c r="U354" t="s">
        <v>462</v>
      </c>
      <c r="V354" s="478">
        <f t="shared" si="251"/>
        <v>0</v>
      </c>
      <c r="W354" s="142">
        <f t="shared" si="237"/>
        <v>0</v>
      </c>
      <c r="X354" s="1076"/>
    </row>
    <row r="355" spans="1:24" x14ac:dyDescent="0.2">
      <c r="A355" t="s">
        <v>463</v>
      </c>
      <c r="B355" s="478">
        <f t="shared" si="246"/>
        <v>132441.84</v>
      </c>
      <c r="C355" s="478">
        <f t="shared" si="246"/>
        <v>5518.41</v>
      </c>
      <c r="D355" s="9">
        <v>52</v>
      </c>
      <c r="E355" s="10">
        <v>5</v>
      </c>
      <c r="F355" s="476">
        <f t="shared" si="227"/>
        <v>132441.84</v>
      </c>
      <c r="G355" s="476">
        <f t="shared" si="228"/>
        <v>5518.41</v>
      </c>
      <c r="H355">
        <f t="shared" si="247"/>
        <v>138789.35999999999</v>
      </c>
      <c r="I355">
        <f t="shared" si="248"/>
        <v>5782.8899999999994</v>
      </c>
      <c r="L355" t="s">
        <v>463</v>
      </c>
      <c r="M355" s="143">
        <f t="shared" si="249"/>
        <v>63.43</v>
      </c>
      <c r="N355" s="476">
        <f t="shared" si="238"/>
        <v>0</v>
      </c>
      <c r="O355" s="142">
        <f t="shared" si="232"/>
        <v>63.43</v>
      </c>
      <c r="P355" s="476">
        <f t="shared" si="233"/>
        <v>132441.84</v>
      </c>
      <c r="Q355" s="476"/>
      <c r="R355" s="476">
        <f t="shared" si="243"/>
        <v>0</v>
      </c>
      <c r="S355" s="476">
        <f t="shared" si="234"/>
        <v>63.43</v>
      </c>
      <c r="T355" s="478">
        <f t="shared" si="250"/>
        <v>132441.84</v>
      </c>
      <c r="U355" t="s">
        <v>463</v>
      </c>
      <c r="V355" s="478">
        <f t="shared" si="251"/>
        <v>0</v>
      </c>
      <c r="W355" s="142">
        <f t="shared" si="237"/>
        <v>0</v>
      </c>
      <c r="X355" s="1076"/>
    </row>
    <row r="356" spans="1:24" x14ac:dyDescent="0.2">
      <c r="A356" t="s">
        <v>464</v>
      </c>
      <c r="B356" s="478">
        <f t="shared" si="246"/>
        <v>138789.35999999999</v>
      </c>
      <c r="C356" s="478">
        <f t="shared" si="246"/>
        <v>5782.8899999999994</v>
      </c>
      <c r="D356" s="9">
        <v>52</v>
      </c>
      <c r="E356" s="10">
        <v>6</v>
      </c>
      <c r="F356" s="476">
        <f t="shared" si="227"/>
        <v>138789.35999999999</v>
      </c>
      <c r="G356" s="476">
        <f t="shared" si="228"/>
        <v>5782.8899999999994</v>
      </c>
      <c r="H356">
        <f t="shared" si="247"/>
        <v>145470.96</v>
      </c>
      <c r="I356">
        <f t="shared" si="248"/>
        <v>6061.29</v>
      </c>
      <c r="L356" t="s">
        <v>464</v>
      </c>
      <c r="M356" s="143">
        <f t="shared" si="249"/>
        <v>66.47</v>
      </c>
      <c r="N356" s="476">
        <f t="shared" si="238"/>
        <v>0</v>
      </c>
      <c r="O356" s="142">
        <f t="shared" si="232"/>
        <v>66.47</v>
      </c>
      <c r="P356" s="476">
        <f t="shared" si="233"/>
        <v>138789.35999999999</v>
      </c>
      <c r="Q356" s="476"/>
      <c r="R356" s="476">
        <f t="shared" si="243"/>
        <v>0</v>
      </c>
      <c r="S356" s="476">
        <f t="shared" si="234"/>
        <v>66.47</v>
      </c>
      <c r="T356" s="478">
        <f t="shared" si="250"/>
        <v>138789.35999999999</v>
      </c>
      <c r="U356" t="s">
        <v>464</v>
      </c>
      <c r="V356" s="478">
        <f t="shared" si="251"/>
        <v>0</v>
      </c>
      <c r="W356" s="142">
        <f t="shared" si="237"/>
        <v>0</v>
      </c>
      <c r="X356" s="1076"/>
    </row>
    <row r="357" spans="1:24" x14ac:dyDescent="0.2">
      <c r="A357" t="s">
        <v>465</v>
      </c>
      <c r="B357" s="478">
        <f t="shared" si="246"/>
        <v>145470.96</v>
      </c>
      <c r="C357" s="478">
        <f t="shared" si="246"/>
        <v>6061.29</v>
      </c>
      <c r="D357" s="9">
        <v>52</v>
      </c>
      <c r="E357" s="10">
        <v>7</v>
      </c>
      <c r="F357" s="476">
        <f t="shared" si="227"/>
        <v>145470.96</v>
      </c>
      <c r="G357" s="476">
        <f t="shared" si="228"/>
        <v>6061.29</v>
      </c>
      <c r="H357">
        <f t="shared" si="247"/>
        <v>152424</v>
      </c>
      <c r="I357">
        <f t="shared" si="248"/>
        <v>6351</v>
      </c>
      <c r="L357" t="s">
        <v>465</v>
      </c>
      <c r="M357" s="143">
        <f t="shared" si="249"/>
        <v>69.67</v>
      </c>
      <c r="N357" s="476">
        <f t="shared" si="238"/>
        <v>0</v>
      </c>
      <c r="O357" s="142">
        <f t="shared" si="232"/>
        <v>69.67</v>
      </c>
      <c r="P357" s="476">
        <f t="shared" si="233"/>
        <v>145470.96</v>
      </c>
      <c r="Q357" s="476"/>
      <c r="R357" s="476">
        <f t="shared" si="243"/>
        <v>0</v>
      </c>
      <c r="S357" s="476">
        <f t="shared" si="234"/>
        <v>69.67</v>
      </c>
      <c r="T357" s="478">
        <f t="shared" si="250"/>
        <v>145470.96</v>
      </c>
      <c r="U357" t="s">
        <v>465</v>
      </c>
      <c r="V357" s="478">
        <f t="shared" si="251"/>
        <v>0</v>
      </c>
      <c r="W357" s="142">
        <f t="shared" si="237"/>
        <v>0</v>
      </c>
      <c r="X357" s="1076"/>
    </row>
    <row r="358" spans="1:24" x14ac:dyDescent="0.2">
      <c r="A358" t="s">
        <v>466</v>
      </c>
      <c r="B358" s="478">
        <f t="shared" si="246"/>
        <v>152424</v>
      </c>
      <c r="C358" s="478">
        <f t="shared" si="246"/>
        <v>6351</v>
      </c>
      <c r="D358" s="9">
        <v>52</v>
      </c>
      <c r="E358" s="10">
        <v>8</v>
      </c>
      <c r="F358" s="476">
        <f t="shared" si="227"/>
        <v>152424</v>
      </c>
      <c r="G358" s="476">
        <f t="shared" si="228"/>
        <v>6351</v>
      </c>
      <c r="H358">
        <f t="shared" si="247"/>
        <v>159878.15999999997</v>
      </c>
      <c r="I358">
        <f t="shared" si="248"/>
        <v>6661.5899999999992</v>
      </c>
      <c r="L358" t="s">
        <v>466</v>
      </c>
      <c r="M358" s="143">
        <f t="shared" si="249"/>
        <v>73</v>
      </c>
      <c r="N358" s="476">
        <f t="shared" si="238"/>
        <v>0</v>
      </c>
      <c r="O358" s="142">
        <f t="shared" si="232"/>
        <v>73</v>
      </c>
      <c r="P358" s="476">
        <f t="shared" si="233"/>
        <v>152424</v>
      </c>
      <c r="Q358" s="476"/>
      <c r="R358" s="476">
        <f t="shared" si="243"/>
        <v>0</v>
      </c>
      <c r="S358" s="476">
        <f t="shared" si="234"/>
        <v>73</v>
      </c>
      <c r="T358" s="478">
        <f t="shared" si="250"/>
        <v>152424</v>
      </c>
      <c r="U358" t="s">
        <v>466</v>
      </c>
      <c r="V358" s="478">
        <f t="shared" si="251"/>
        <v>0</v>
      </c>
      <c r="W358" s="142">
        <f t="shared" si="237"/>
        <v>0</v>
      </c>
      <c r="X358" s="1076"/>
    </row>
    <row r="359" spans="1:24" x14ac:dyDescent="0.2">
      <c r="A359" t="s">
        <v>467</v>
      </c>
      <c r="B359" s="478">
        <f t="shared" si="246"/>
        <v>159878.15999999997</v>
      </c>
      <c r="C359" s="478">
        <f t="shared" si="246"/>
        <v>6661.5899999999992</v>
      </c>
      <c r="D359" s="9">
        <v>52</v>
      </c>
      <c r="E359" s="10">
        <v>9</v>
      </c>
      <c r="F359" s="476">
        <f t="shared" si="227"/>
        <v>159878.15999999997</v>
      </c>
      <c r="G359" s="476">
        <f t="shared" si="228"/>
        <v>6661.5899999999992</v>
      </c>
      <c r="H359">
        <f t="shared" si="247"/>
        <v>167603.75999999998</v>
      </c>
      <c r="I359">
        <f t="shared" si="248"/>
        <v>6983.4899999999989</v>
      </c>
      <c r="L359" t="s">
        <v>467</v>
      </c>
      <c r="M359" s="143">
        <f t="shared" si="249"/>
        <v>76.569999999999993</v>
      </c>
      <c r="N359" s="476">
        <f t="shared" si="238"/>
        <v>0</v>
      </c>
      <c r="O359" s="142">
        <f t="shared" si="232"/>
        <v>76.569999999999993</v>
      </c>
      <c r="P359" s="476">
        <f t="shared" si="233"/>
        <v>159878.15999999997</v>
      </c>
      <c r="Q359" s="476"/>
      <c r="R359" s="476">
        <f t="shared" si="243"/>
        <v>0</v>
      </c>
      <c r="S359" s="476">
        <f t="shared" si="234"/>
        <v>76.569999999999993</v>
      </c>
      <c r="T359" s="478">
        <f t="shared" si="250"/>
        <v>159878.15999999997</v>
      </c>
      <c r="U359" t="s">
        <v>467</v>
      </c>
      <c r="V359" s="478">
        <f t="shared" si="251"/>
        <v>0</v>
      </c>
      <c r="W359" s="142">
        <f t="shared" si="237"/>
        <v>0</v>
      </c>
      <c r="X359" s="1076"/>
    </row>
    <row r="360" spans="1:24" x14ac:dyDescent="0.2">
      <c r="A360" t="s">
        <v>468</v>
      </c>
      <c r="B360" s="477">
        <f>P360</f>
        <v>167603.75999999998</v>
      </c>
      <c r="C360" s="477">
        <f>B360/24</f>
        <v>6983.4899999999989</v>
      </c>
      <c r="D360" s="9">
        <v>52</v>
      </c>
      <c r="E360" s="10">
        <v>10</v>
      </c>
      <c r="F360" s="476">
        <f t="shared" si="227"/>
        <v>167603.75999999998</v>
      </c>
      <c r="G360" s="476">
        <f t="shared" si="228"/>
        <v>6983.4899999999989</v>
      </c>
      <c r="H360">
        <f>F360</f>
        <v>167603.75999999998</v>
      </c>
      <c r="I360">
        <f>G360</f>
        <v>6983.4899999999989</v>
      </c>
      <c r="L360" t="s">
        <v>468</v>
      </c>
      <c r="M360" s="612">
        <v>80.27</v>
      </c>
      <c r="N360" s="476">
        <f t="shared" si="238"/>
        <v>0</v>
      </c>
      <c r="O360" s="142">
        <f t="shared" si="232"/>
        <v>80.27</v>
      </c>
      <c r="P360" s="476">
        <f t="shared" si="233"/>
        <v>167603.75999999998</v>
      </c>
      <c r="Q360" s="476"/>
      <c r="R360" s="476">
        <f t="shared" si="243"/>
        <v>0</v>
      </c>
      <c r="S360" s="476">
        <f t="shared" si="234"/>
        <v>80.27</v>
      </c>
      <c r="T360" s="477">
        <f>S360*$T$9</f>
        <v>167603.75999999998</v>
      </c>
      <c r="U360" t="s">
        <v>468</v>
      </c>
      <c r="V360" s="142">
        <f>R360*2088</f>
        <v>0</v>
      </c>
      <c r="W360" s="142">
        <f t="shared" si="237"/>
        <v>0</v>
      </c>
      <c r="X360" s="1076"/>
    </row>
    <row r="361" spans="1:24" x14ac:dyDescent="0.2">
      <c r="A361" t="s">
        <v>469</v>
      </c>
      <c r="B361" s="478">
        <f t="shared" ref="B361:C369" si="252">B352</f>
        <v>115090.56</v>
      </c>
      <c r="C361" s="478">
        <f t="shared" si="252"/>
        <v>4795.4399999999996</v>
      </c>
      <c r="D361" s="9">
        <v>53</v>
      </c>
      <c r="E361" s="10" t="s">
        <v>23</v>
      </c>
      <c r="F361" s="476">
        <f t="shared" si="227"/>
        <v>115090.56</v>
      </c>
      <c r="G361" s="476">
        <f t="shared" si="228"/>
        <v>4795.4399999999996</v>
      </c>
      <c r="H361">
        <f t="shared" ref="H361:H369" si="253">F362</f>
        <v>120582</v>
      </c>
      <c r="I361">
        <f t="shared" ref="I361:I369" si="254">G362</f>
        <v>5024.25</v>
      </c>
      <c r="L361" t="s">
        <v>469</v>
      </c>
      <c r="M361" s="143">
        <f t="shared" ref="M361:M369" si="255">M352</f>
        <v>55.12</v>
      </c>
      <c r="N361" s="476">
        <f t="shared" si="238"/>
        <v>0</v>
      </c>
      <c r="O361" s="142">
        <f t="shared" si="232"/>
        <v>55.12</v>
      </c>
      <c r="P361" s="476">
        <f t="shared" si="233"/>
        <v>115090.56</v>
      </c>
      <c r="Q361" s="476"/>
      <c r="R361" s="476">
        <f t="shared" si="243"/>
        <v>0</v>
      </c>
      <c r="S361" s="476">
        <f t="shared" si="234"/>
        <v>55.12</v>
      </c>
      <c r="T361" s="478">
        <f t="shared" ref="T361:T369" si="256">T352</f>
        <v>115090.56</v>
      </c>
      <c r="U361" t="s">
        <v>469</v>
      </c>
      <c r="V361" s="478">
        <f t="shared" ref="V361:V369" si="257">V352</f>
        <v>0</v>
      </c>
      <c r="W361" s="142">
        <f t="shared" si="237"/>
        <v>0</v>
      </c>
      <c r="X361" s="1076"/>
    </row>
    <row r="362" spans="1:24" x14ac:dyDescent="0.2">
      <c r="A362" t="s">
        <v>470</v>
      </c>
      <c r="B362" s="478">
        <f t="shared" si="252"/>
        <v>120582</v>
      </c>
      <c r="C362" s="478">
        <f t="shared" si="252"/>
        <v>5024.25</v>
      </c>
      <c r="D362" s="9">
        <v>53</v>
      </c>
      <c r="E362" s="10">
        <v>2</v>
      </c>
      <c r="F362" s="476">
        <f t="shared" si="227"/>
        <v>120582</v>
      </c>
      <c r="G362" s="476">
        <f t="shared" si="228"/>
        <v>5024.25</v>
      </c>
      <c r="H362">
        <f t="shared" si="253"/>
        <v>126386.64</v>
      </c>
      <c r="I362">
        <f t="shared" si="254"/>
        <v>5266.11</v>
      </c>
      <c r="L362" t="s">
        <v>470</v>
      </c>
      <c r="M362" s="143">
        <f t="shared" si="255"/>
        <v>57.75</v>
      </c>
      <c r="N362" s="476">
        <f t="shared" si="238"/>
        <v>0</v>
      </c>
      <c r="O362" s="142">
        <f t="shared" si="232"/>
        <v>57.75</v>
      </c>
      <c r="P362" s="476">
        <f t="shared" si="233"/>
        <v>120582</v>
      </c>
      <c r="Q362" s="476"/>
      <c r="R362" s="476">
        <f t="shared" si="243"/>
        <v>0</v>
      </c>
      <c r="S362" s="476">
        <f t="shared" si="234"/>
        <v>57.75</v>
      </c>
      <c r="T362" s="478">
        <f t="shared" si="256"/>
        <v>120582</v>
      </c>
      <c r="U362" t="s">
        <v>470</v>
      </c>
      <c r="V362" s="478">
        <f t="shared" si="257"/>
        <v>0</v>
      </c>
      <c r="W362" s="142">
        <f t="shared" si="237"/>
        <v>0</v>
      </c>
      <c r="X362" s="1076"/>
    </row>
    <row r="363" spans="1:24" x14ac:dyDescent="0.2">
      <c r="A363" t="s">
        <v>471</v>
      </c>
      <c r="B363" s="478">
        <f t="shared" si="252"/>
        <v>126386.64</v>
      </c>
      <c r="C363" s="478">
        <f t="shared" si="252"/>
        <v>5266.11</v>
      </c>
      <c r="D363" s="9">
        <v>53</v>
      </c>
      <c r="E363" s="10">
        <v>3</v>
      </c>
      <c r="F363" s="476">
        <f t="shared" si="227"/>
        <v>126386.64</v>
      </c>
      <c r="G363" s="476">
        <f t="shared" si="228"/>
        <v>5266.11</v>
      </c>
      <c r="H363">
        <f t="shared" si="253"/>
        <v>132441.84</v>
      </c>
      <c r="I363">
        <f t="shared" si="254"/>
        <v>5518.41</v>
      </c>
      <c r="L363" t="s">
        <v>471</v>
      </c>
      <c r="M363" s="143">
        <f t="shared" si="255"/>
        <v>60.53</v>
      </c>
      <c r="N363" s="476">
        <f t="shared" si="238"/>
        <v>0</v>
      </c>
      <c r="O363" s="142">
        <f t="shared" si="232"/>
        <v>60.53</v>
      </c>
      <c r="P363" s="476">
        <f t="shared" si="233"/>
        <v>126386.64</v>
      </c>
      <c r="Q363" s="476"/>
      <c r="R363" s="476">
        <f t="shared" si="243"/>
        <v>0</v>
      </c>
      <c r="S363" s="476">
        <f t="shared" si="234"/>
        <v>60.53</v>
      </c>
      <c r="T363" s="478">
        <f t="shared" si="256"/>
        <v>126386.64</v>
      </c>
      <c r="U363" t="s">
        <v>471</v>
      </c>
      <c r="V363" s="478">
        <f t="shared" si="257"/>
        <v>0</v>
      </c>
      <c r="W363" s="142">
        <f t="shared" si="237"/>
        <v>0</v>
      </c>
      <c r="X363" s="1076"/>
    </row>
    <row r="364" spans="1:24" x14ac:dyDescent="0.2">
      <c r="A364" t="s">
        <v>472</v>
      </c>
      <c r="B364" s="478">
        <f t="shared" si="252"/>
        <v>132441.84</v>
      </c>
      <c r="C364" s="478">
        <f t="shared" si="252"/>
        <v>5518.41</v>
      </c>
      <c r="D364" s="9">
        <v>53</v>
      </c>
      <c r="E364" s="10">
        <v>4</v>
      </c>
      <c r="F364" s="476">
        <f t="shared" si="227"/>
        <v>132441.84</v>
      </c>
      <c r="G364" s="476">
        <f t="shared" si="228"/>
        <v>5518.41</v>
      </c>
      <c r="H364">
        <f t="shared" si="253"/>
        <v>138789.35999999999</v>
      </c>
      <c r="I364">
        <f t="shared" si="254"/>
        <v>5782.8899999999994</v>
      </c>
      <c r="L364" t="s">
        <v>472</v>
      </c>
      <c r="M364" s="143">
        <f t="shared" si="255"/>
        <v>63.43</v>
      </c>
      <c r="N364" s="476">
        <f t="shared" si="238"/>
        <v>0</v>
      </c>
      <c r="O364" s="142">
        <f t="shared" si="232"/>
        <v>63.43</v>
      </c>
      <c r="P364" s="476">
        <f t="shared" si="233"/>
        <v>132441.84</v>
      </c>
      <c r="Q364" s="476"/>
      <c r="R364" s="476">
        <f t="shared" si="243"/>
        <v>0</v>
      </c>
      <c r="S364" s="476">
        <f t="shared" si="234"/>
        <v>63.43</v>
      </c>
      <c r="T364" s="478">
        <f t="shared" si="256"/>
        <v>132441.84</v>
      </c>
      <c r="U364" t="s">
        <v>472</v>
      </c>
      <c r="V364" s="478">
        <f t="shared" si="257"/>
        <v>0</v>
      </c>
      <c r="W364" s="142">
        <f t="shared" si="237"/>
        <v>0</v>
      </c>
      <c r="X364" s="1076"/>
    </row>
    <row r="365" spans="1:24" x14ac:dyDescent="0.2">
      <c r="A365" t="s">
        <v>473</v>
      </c>
      <c r="B365" s="478">
        <f t="shared" si="252"/>
        <v>138789.35999999999</v>
      </c>
      <c r="C365" s="478">
        <f t="shared" si="252"/>
        <v>5782.8899999999994</v>
      </c>
      <c r="D365" s="9">
        <v>53</v>
      </c>
      <c r="E365" s="10">
        <v>5</v>
      </c>
      <c r="F365" s="476">
        <f t="shared" si="227"/>
        <v>138789.35999999999</v>
      </c>
      <c r="G365" s="476">
        <f t="shared" si="228"/>
        <v>5782.8899999999994</v>
      </c>
      <c r="H365">
        <f t="shared" si="253"/>
        <v>145470.96</v>
      </c>
      <c r="I365">
        <f t="shared" si="254"/>
        <v>6061.29</v>
      </c>
      <c r="L365" t="s">
        <v>473</v>
      </c>
      <c r="M365" s="143">
        <f t="shared" si="255"/>
        <v>66.47</v>
      </c>
      <c r="N365" s="476">
        <f t="shared" si="238"/>
        <v>0</v>
      </c>
      <c r="O365" s="142">
        <f t="shared" si="232"/>
        <v>66.47</v>
      </c>
      <c r="P365" s="476">
        <f t="shared" si="233"/>
        <v>138789.35999999999</v>
      </c>
      <c r="Q365" s="476"/>
      <c r="R365" s="476">
        <f t="shared" si="243"/>
        <v>0</v>
      </c>
      <c r="S365" s="476">
        <f t="shared" si="234"/>
        <v>66.47</v>
      </c>
      <c r="T365" s="478">
        <f t="shared" si="256"/>
        <v>138789.35999999999</v>
      </c>
      <c r="U365" t="s">
        <v>473</v>
      </c>
      <c r="V365" s="478">
        <f t="shared" si="257"/>
        <v>0</v>
      </c>
      <c r="W365" s="142">
        <f t="shared" si="237"/>
        <v>0</v>
      </c>
      <c r="X365" s="1076"/>
    </row>
    <row r="366" spans="1:24" x14ac:dyDescent="0.2">
      <c r="A366" t="s">
        <v>474</v>
      </c>
      <c r="B366" s="478">
        <f t="shared" si="252"/>
        <v>145470.96</v>
      </c>
      <c r="C366" s="478">
        <f t="shared" si="252"/>
        <v>6061.29</v>
      </c>
      <c r="D366" s="9">
        <v>53</v>
      </c>
      <c r="E366" s="10">
        <v>6</v>
      </c>
      <c r="F366" s="476">
        <f t="shared" si="227"/>
        <v>145470.96</v>
      </c>
      <c r="G366" s="476">
        <f t="shared" si="228"/>
        <v>6061.29</v>
      </c>
      <c r="H366">
        <f t="shared" si="253"/>
        <v>152424</v>
      </c>
      <c r="I366">
        <f t="shared" si="254"/>
        <v>6351</v>
      </c>
      <c r="L366" t="s">
        <v>474</v>
      </c>
      <c r="M366" s="143">
        <f t="shared" si="255"/>
        <v>69.67</v>
      </c>
      <c r="N366" s="476">
        <f t="shared" si="238"/>
        <v>0</v>
      </c>
      <c r="O366" s="142">
        <f t="shared" si="232"/>
        <v>69.67</v>
      </c>
      <c r="P366" s="476">
        <f t="shared" si="233"/>
        <v>145470.96</v>
      </c>
      <c r="Q366" s="476"/>
      <c r="R366" s="476">
        <f t="shared" si="243"/>
        <v>0</v>
      </c>
      <c r="S366" s="476">
        <f t="shared" si="234"/>
        <v>69.67</v>
      </c>
      <c r="T366" s="478">
        <f t="shared" si="256"/>
        <v>145470.96</v>
      </c>
      <c r="U366" t="s">
        <v>474</v>
      </c>
      <c r="V366" s="478">
        <f t="shared" si="257"/>
        <v>0</v>
      </c>
      <c r="W366" s="142">
        <f t="shared" si="237"/>
        <v>0</v>
      </c>
      <c r="X366" s="1076"/>
    </row>
    <row r="367" spans="1:24" x14ac:dyDescent="0.2">
      <c r="A367" t="s">
        <v>475</v>
      </c>
      <c r="B367" s="478">
        <f t="shared" si="252"/>
        <v>152424</v>
      </c>
      <c r="C367" s="478">
        <f t="shared" si="252"/>
        <v>6351</v>
      </c>
      <c r="D367" s="9">
        <v>53</v>
      </c>
      <c r="E367" s="10">
        <v>7</v>
      </c>
      <c r="F367" s="476">
        <f t="shared" si="227"/>
        <v>152424</v>
      </c>
      <c r="G367" s="476">
        <f t="shared" si="228"/>
        <v>6351</v>
      </c>
      <c r="H367">
        <f t="shared" si="253"/>
        <v>159878.15999999997</v>
      </c>
      <c r="I367">
        <f t="shared" si="254"/>
        <v>6661.5899999999992</v>
      </c>
      <c r="L367" t="s">
        <v>475</v>
      </c>
      <c r="M367" s="143">
        <f t="shared" si="255"/>
        <v>73</v>
      </c>
      <c r="N367" s="476">
        <f t="shared" si="238"/>
        <v>0</v>
      </c>
      <c r="O367" s="142">
        <f t="shared" si="232"/>
        <v>73</v>
      </c>
      <c r="P367" s="476">
        <f t="shared" si="233"/>
        <v>152424</v>
      </c>
      <c r="Q367" s="476"/>
      <c r="R367" s="476">
        <f t="shared" si="243"/>
        <v>0</v>
      </c>
      <c r="S367" s="476">
        <f t="shared" si="234"/>
        <v>73</v>
      </c>
      <c r="T367" s="478">
        <f t="shared" si="256"/>
        <v>152424</v>
      </c>
      <c r="U367" t="s">
        <v>475</v>
      </c>
      <c r="V367" s="478">
        <f t="shared" si="257"/>
        <v>0</v>
      </c>
      <c r="W367" s="142">
        <f t="shared" si="237"/>
        <v>0</v>
      </c>
      <c r="X367" s="1076"/>
    </row>
    <row r="368" spans="1:24" x14ac:dyDescent="0.2">
      <c r="A368" t="s">
        <v>476</v>
      </c>
      <c r="B368" s="478">
        <f t="shared" si="252"/>
        <v>159878.15999999997</v>
      </c>
      <c r="C368" s="478">
        <f t="shared" si="252"/>
        <v>6661.5899999999992</v>
      </c>
      <c r="D368" s="9">
        <v>53</v>
      </c>
      <c r="E368" s="10">
        <v>8</v>
      </c>
      <c r="F368" s="476">
        <f t="shared" si="227"/>
        <v>159878.15999999997</v>
      </c>
      <c r="G368" s="476">
        <f t="shared" si="228"/>
        <v>6661.5899999999992</v>
      </c>
      <c r="H368">
        <f t="shared" si="253"/>
        <v>167603.75999999998</v>
      </c>
      <c r="I368">
        <f t="shared" si="254"/>
        <v>6983.4899999999989</v>
      </c>
      <c r="L368" t="s">
        <v>476</v>
      </c>
      <c r="M368" s="143">
        <f t="shared" si="255"/>
        <v>76.569999999999993</v>
      </c>
      <c r="N368" s="476">
        <f t="shared" si="238"/>
        <v>0</v>
      </c>
      <c r="O368" s="142">
        <f t="shared" si="232"/>
        <v>76.569999999999993</v>
      </c>
      <c r="P368" s="476">
        <f t="shared" si="233"/>
        <v>159878.15999999997</v>
      </c>
      <c r="Q368" s="476"/>
      <c r="R368" s="476">
        <f t="shared" si="243"/>
        <v>0</v>
      </c>
      <c r="S368" s="476">
        <f t="shared" si="234"/>
        <v>76.569999999999993</v>
      </c>
      <c r="T368" s="478">
        <f t="shared" si="256"/>
        <v>159878.15999999997</v>
      </c>
      <c r="U368" t="s">
        <v>476</v>
      </c>
      <c r="V368" s="478">
        <f t="shared" si="257"/>
        <v>0</v>
      </c>
      <c r="W368" s="142">
        <f t="shared" si="237"/>
        <v>0</v>
      </c>
      <c r="X368" s="1076"/>
    </row>
    <row r="369" spans="1:24" x14ac:dyDescent="0.2">
      <c r="A369" t="s">
        <v>477</v>
      </c>
      <c r="B369" s="478">
        <f t="shared" si="252"/>
        <v>167603.75999999998</v>
      </c>
      <c r="C369" s="478">
        <f t="shared" si="252"/>
        <v>6983.4899999999989</v>
      </c>
      <c r="D369" s="9">
        <v>53</v>
      </c>
      <c r="E369" s="10">
        <v>9</v>
      </c>
      <c r="F369" s="476">
        <f t="shared" si="227"/>
        <v>167603.75999999998</v>
      </c>
      <c r="G369" s="476">
        <f t="shared" si="228"/>
        <v>6983.4899999999989</v>
      </c>
      <c r="H369">
        <f t="shared" si="253"/>
        <v>175746.96</v>
      </c>
      <c r="I369">
        <f t="shared" si="254"/>
        <v>7322.79</v>
      </c>
      <c r="L369" t="s">
        <v>477</v>
      </c>
      <c r="M369" s="143">
        <f t="shared" si="255"/>
        <v>80.27</v>
      </c>
      <c r="N369" s="476">
        <f t="shared" si="238"/>
        <v>0</v>
      </c>
      <c r="O369" s="142">
        <f t="shared" si="232"/>
        <v>80.27</v>
      </c>
      <c r="P369" s="476">
        <f t="shared" si="233"/>
        <v>167603.75999999998</v>
      </c>
      <c r="Q369" s="476"/>
      <c r="R369" s="476">
        <f t="shared" si="243"/>
        <v>0</v>
      </c>
      <c r="S369" s="476">
        <f t="shared" si="234"/>
        <v>80.27</v>
      </c>
      <c r="T369" s="478">
        <f t="shared" si="256"/>
        <v>167603.75999999998</v>
      </c>
      <c r="U369" t="s">
        <v>477</v>
      </c>
      <c r="V369" s="478">
        <f t="shared" si="257"/>
        <v>0</v>
      </c>
      <c r="W369" s="142">
        <f t="shared" si="237"/>
        <v>0</v>
      </c>
      <c r="X369" s="1076"/>
    </row>
    <row r="370" spans="1:24" x14ac:dyDescent="0.2">
      <c r="A370" t="s">
        <v>478</v>
      </c>
      <c r="B370" s="477">
        <f>P370</f>
        <v>175746.96</v>
      </c>
      <c r="C370" s="477">
        <f>B370/24</f>
        <v>7322.79</v>
      </c>
      <c r="D370" s="9">
        <v>53</v>
      </c>
      <c r="E370" s="10">
        <v>10</v>
      </c>
      <c r="F370" s="476">
        <f t="shared" si="227"/>
        <v>175746.96</v>
      </c>
      <c r="G370" s="476">
        <f t="shared" si="228"/>
        <v>7322.79</v>
      </c>
      <c r="H370">
        <f>F370</f>
        <v>175746.96</v>
      </c>
      <c r="I370">
        <f>G370</f>
        <v>7322.79</v>
      </c>
      <c r="L370" t="s">
        <v>478</v>
      </c>
      <c r="M370" s="612">
        <v>84.17</v>
      </c>
      <c r="N370" s="476">
        <f t="shared" si="238"/>
        <v>0</v>
      </c>
      <c r="O370" s="142">
        <f t="shared" si="232"/>
        <v>84.17</v>
      </c>
      <c r="P370" s="476">
        <f t="shared" si="233"/>
        <v>175746.96</v>
      </c>
      <c r="Q370" s="476"/>
      <c r="R370" s="476">
        <f t="shared" si="243"/>
        <v>0</v>
      </c>
      <c r="S370" s="476">
        <f t="shared" si="234"/>
        <v>84.17</v>
      </c>
      <c r="T370" s="477">
        <f>S370*$T$9</f>
        <v>175746.96</v>
      </c>
      <c r="U370" t="s">
        <v>478</v>
      </c>
      <c r="V370" s="142">
        <f>R370*2088</f>
        <v>0</v>
      </c>
      <c r="W370" s="142">
        <f t="shared" si="237"/>
        <v>0</v>
      </c>
      <c r="X370" s="1076"/>
    </row>
    <row r="371" spans="1:24" x14ac:dyDescent="0.2">
      <c r="A371" t="s">
        <v>479</v>
      </c>
      <c r="B371" s="478">
        <f t="shared" ref="B371:C379" si="258">B362</f>
        <v>120582</v>
      </c>
      <c r="C371" s="478">
        <f t="shared" si="258"/>
        <v>5024.25</v>
      </c>
      <c r="D371" s="9">
        <v>54</v>
      </c>
      <c r="E371" s="10" t="s">
        <v>23</v>
      </c>
      <c r="F371" s="476">
        <f t="shared" si="227"/>
        <v>120582</v>
      </c>
      <c r="G371" s="476">
        <f t="shared" si="228"/>
        <v>5024.25</v>
      </c>
      <c r="H371">
        <f t="shared" ref="H371:H379" si="259">F372</f>
        <v>126386.64</v>
      </c>
      <c r="I371">
        <f t="shared" ref="I371:I379" si="260">G372</f>
        <v>5266.11</v>
      </c>
      <c r="L371" t="s">
        <v>479</v>
      </c>
      <c r="M371" s="143">
        <f t="shared" ref="M371:M379" si="261">M362</f>
        <v>57.75</v>
      </c>
      <c r="N371" s="476">
        <f t="shared" si="238"/>
        <v>0</v>
      </c>
      <c r="O371" s="142">
        <f t="shared" si="232"/>
        <v>57.75</v>
      </c>
      <c r="P371" s="476">
        <f t="shared" si="233"/>
        <v>120582</v>
      </c>
      <c r="Q371" s="476"/>
      <c r="R371" s="476">
        <f t="shared" si="243"/>
        <v>0</v>
      </c>
      <c r="S371" s="476">
        <f t="shared" si="234"/>
        <v>57.75</v>
      </c>
      <c r="T371" s="478">
        <f t="shared" ref="T371:T379" si="262">T362</f>
        <v>120582</v>
      </c>
      <c r="U371" t="s">
        <v>479</v>
      </c>
      <c r="V371" s="478">
        <f t="shared" ref="V371:V379" si="263">V362</f>
        <v>0</v>
      </c>
      <c r="W371" s="142">
        <f t="shared" si="237"/>
        <v>0</v>
      </c>
      <c r="X371" s="1076"/>
    </row>
    <row r="372" spans="1:24" x14ac:dyDescent="0.2">
      <c r="A372" t="s">
        <v>480</v>
      </c>
      <c r="B372" s="478">
        <f t="shared" si="258"/>
        <v>126386.64</v>
      </c>
      <c r="C372" s="478">
        <f t="shared" si="258"/>
        <v>5266.11</v>
      </c>
      <c r="D372" s="9">
        <v>54</v>
      </c>
      <c r="E372" s="10">
        <v>2</v>
      </c>
      <c r="F372" s="476">
        <f t="shared" si="227"/>
        <v>126386.64</v>
      </c>
      <c r="G372" s="476">
        <f t="shared" si="228"/>
        <v>5266.11</v>
      </c>
      <c r="H372">
        <f t="shared" si="259"/>
        <v>132441.84</v>
      </c>
      <c r="I372">
        <f t="shared" si="260"/>
        <v>5518.41</v>
      </c>
      <c r="L372" t="s">
        <v>480</v>
      </c>
      <c r="M372" s="143">
        <f t="shared" si="261"/>
        <v>60.53</v>
      </c>
      <c r="N372" s="476">
        <f t="shared" si="238"/>
        <v>0</v>
      </c>
      <c r="O372" s="142">
        <f t="shared" si="232"/>
        <v>60.53</v>
      </c>
      <c r="P372" s="476">
        <f t="shared" si="233"/>
        <v>126386.64</v>
      </c>
      <c r="Q372" s="476"/>
      <c r="R372" s="476">
        <f t="shared" si="243"/>
        <v>0</v>
      </c>
      <c r="S372" s="476">
        <f t="shared" si="234"/>
        <v>60.53</v>
      </c>
      <c r="T372" s="478">
        <f t="shared" si="262"/>
        <v>126386.64</v>
      </c>
      <c r="U372" t="s">
        <v>480</v>
      </c>
      <c r="V372" s="478">
        <f t="shared" si="263"/>
        <v>0</v>
      </c>
      <c r="W372" s="142">
        <f t="shared" si="237"/>
        <v>0</v>
      </c>
      <c r="X372" s="1076"/>
    </row>
    <row r="373" spans="1:24" x14ac:dyDescent="0.2">
      <c r="A373" t="s">
        <v>481</v>
      </c>
      <c r="B373" s="478">
        <f t="shared" si="258"/>
        <v>132441.84</v>
      </c>
      <c r="C373" s="478">
        <f t="shared" si="258"/>
        <v>5518.41</v>
      </c>
      <c r="D373" s="9">
        <v>54</v>
      </c>
      <c r="E373" s="10">
        <v>3</v>
      </c>
      <c r="F373" s="476">
        <f t="shared" si="227"/>
        <v>132441.84</v>
      </c>
      <c r="G373" s="476">
        <f t="shared" si="228"/>
        <v>5518.41</v>
      </c>
      <c r="H373">
        <f t="shared" si="259"/>
        <v>138789.35999999999</v>
      </c>
      <c r="I373">
        <f t="shared" si="260"/>
        <v>5782.8899999999994</v>
      </c>
      <c r="L373" t="s">
        <v>481</v>
      </c>
      <c r="M373" s="143">
        <f t="shared" si="261"/>
        <v>63.43</v>
      </c>
      <c r="N373" s="476">
        <f t="shared" si="238"/>
        <v>0</v>
      </c>
      <c r="O373" s="142">
        <f t="shared" si="232"/>
        <v>63.43</v>
      </c>
      <c r="P373" s="476">
        <f t="shared" si="233"/>
        <v>132441.84</v>
      </c>
      <c r="Q373" s="476"/>
      <c r="R373" s="476">
        <f t="shared" si="243"/>
        <v>0</v>
      </c>
      <c r="S373" s="476">
        <f t="shared" si="234"/>
        <v>63.43</v>
      </c>
      <c r="T373" s="478">
        <f t="shared" si="262"/>
        <v>132441.84</v>
      </c>
      <c r="U373" t="s">
        <v>481</v>
      </c>
      <c r="V373" s="478">
        <f t="shared" si="263"/>
        <v>0</v>
      </c>
      <c r="W373" s="142">
        <f t="shared" si="237"/>
        <v>0</v>
      </c>
      <c r="X373" s="1076"/>
    </row>
    <row r="374" spans="1:24" x14ac:dyDescent="0.2">
      <c r="A374" t="s">
        <v>482</v>
      </c>
      <c r="B374" s="478">
        <f t="shared" si="258"/>
        <v>138789.35999999999</v>
      </c>
      <c r="C374" s="478">
        <f t="shared" si="258"/>
        <v>5782.8899999999994</v>
      </c>
      <c r="D374" s="9">
        <v>54</v>
      </c>
      <c r="E374" s="10">
        <v>4</v>
      </c>
      <c r="F374" s="476">
        <f t="shared" si="227"/>
        <v>138789.35999999999</v>
      </c>
      <c r="G374" s="476">
        <f t="shared" si="228"/>
        <v>5782.8899999999994</v>
      </c>
      <c r="H374">
        <f t="shared" si="259"/>
        <v>145470.96</v>
      </c>
      <c r="I374">
        <f t="shared" si="260"/>
        <v>6061.29</v>
      </c>
      <c r="L374" t="s">
        <v>482</v>
      </c>
      <c r="M374" s="143">
        <f t="shared" si="261"/>
        <v>66.47</v>
      </c>
      <c r="N374" s="476">
        <f t="shared" si="238"/>
        <v>0</v>
      </c>
      <c r="O374" s="142">
        <f t="shared" si="232"/>
        <v>66.47</v>
      </c>
      <c r="P374" s="476">
        <f t="shared" si="233"/>
        <v>138789.35999999999</v>
      </c>
      <c r="Q374" s="476"/>
      <c r="R374" s="476">
        <f t="shared" si="243"/>
        <v>0</v>
      </c>
      <c r="S374" s="476">
        <f t="shared" si="234"/>
        <v>66.47</v>
      </c>
      <c r="T374" s="478">
        <f t="shared" si="262"/>
        <v>138789.35999999999</v>
      </c>
      <c r="U374" t="s">
        <v>482</v>
      </c>
      <c r="V374" s="478">
        <f t="shared" si="263"/>
        <v>0</v>
      </c>
      <c r="W374" s="142">
        <f t="shared" si="237"/>
        <v>0</v>
      </c>
      <c r="X374" s="1076"/>
    </row>
    <row r="375" spans="1:24" x14ac:dyDescent="0.2">
      <c r="A375" t="s">
        <v>483</v>
      </c>
      <c r="B375" s="478">
        <f t="shared" si="258"/>
        <v>145470.96</v>
      </c>
      <c r="C375" s="478">
        <f t="shared" si="258"/>
        <v>6061.29</v>
      </c>
      <c r="D375" s="9">
        <v>54</v>
      </c>
      <c r="E375" s="10">
        <v>5</v>
      </c>
      <c r="F375" s="476">
        <f t="shared" si="227"/>
        <v>145470.96</v>
      </c>
      <c r="G375" s="476">
        <f t="shared" si="228"/>
        <v>6061.29</v>
      </c>
      <c r="H375">
        <f t="shared" si="259"/>
        <v>152424</v>
      </c>
      <c r="I375">
        <f t="shared" si="260"/>
        <v>6351</v>
      </c>
      <c r="L375" t="s">
        <v>483</v>
      </c>
      <c r="M375" s="143">
        <f t="shared" si="261"/>
        <v>69.67</v>
      </c>
      <c r="N375" s="476">
        <f t="shared" si="238"/>
        <v>0</v>
      </c>
      <c r="O375" s="142">
        <f t="shared" si="232"/>
        <v>69.67</v>
      </c>
      <c r="P375" s="476">
        <f t="shared" si="233"/>
        <v>145470.96</v>
      </c>
      <c r="Q375" s="476"/>
      <c r="R375" s="476">
        <f t="shared" si="243"/>
        <v>0</v>
      </c>
      <c r="S375" s="476">
        <f t="shared" si="234"/>
        <v>69.67</v>
      </c>
      <c r="T375" s="478">
        <f t="shared" si="262"/>
        <v>145470.96</v>
      </c>
      <c r="U375" t="s">
        <v>483</v>
      </c>
      <c r="V375" s="478">
        <f t="shared" si="263"/>
        <v>0</v>
      </c>
      <c r="W375" s="142">
        <f t="shared" si="237"/>
        <v>0</v>
      </c>
      <c r="X375" s="1076"/>
    </row>
    <row r="376" spans="1:24" x14ac:dyDescent="0.2">
      <c r="A376" t="s">
        <v>484</v>
      </c>
      <c r="B376" s="478">
        <f t="shared" si="258"/>
        <v>152424</v>
      </c>
      <c r="C376" s="478">
        <f t="shared" si="258"/>
        <v>6351</v>
      </c>
      <c r="D376" s="9">
        <v>54</v>
      </c>
      <c r="E376" s="10">
        <v>6</v>
      </c>
      <c r="F376" s="476">
        <f t="shared" si="227"/>
        <v>152424</v>
      </c>
      <c r="G376" s="476">
        <f t="shared" si="228"/>
        <v>6351</v>
      </c>
      <c r="H376">
        <f t="shared" si="259"/>
        <v>159878.15999999997</v>
      </c>
      <c r="I376">
        <f t="shared" si="260"/>
        <v>6661.5899999999992</v>
      </c>
      <c r="L376" t="s">
        <v>484</v>
      </c>
      <c r="M376" s="143">
        <f t="shared" si="261"/>
        <v>73</v>
      </c>
      <c r="N376" s="476">
        <f t="shared" si="238"/>
        <v>0</v>
      </c>
      <c r="O376" s="142">
        <f t="shared" si="232"/>
        <v>73</v>
      </c>
      <c r="P376" s="476">
        <f t="shared" si="233"/>
        <v>152424</v>
      </c>
      <c r="Q376" s="476"/>
      <c r="R376" s="476">
        <f t="shared" si="243"/>
        <v>0</v>
      </c>
      <c r="S376" s="476">
        <f t="shared" si="234"/>
        <v>73</v>
      </c>
      <c r="T376" s="478">
        <f t="shared" si="262"/>
        <v>152424</v>
      </c>
      <c r="U376" t="s">
        <v>484</v>
      </c>
      <c r="V376" s="478">
        <f t="shared" si="263"/>
        <v>0</v>
      </c>
      <c r="W376" s="142">
        <f t="shared" si="237"/>
        <v>0</v>
      </c>
      <c r="X376" s="1076"/>
    </row>
    <row r="377" spans="1:24" x14ac:dyDescent="0.2">
      <c r="A377" t="s">
        <v>485</v>
      </c>
      <c r="B377" s="478">
        <f t="shared" si="258"/>
        <v>159878.15999999997</v>
      </c>
      <c r="C377" s="478">
        <f t="shared" si="258"/>
        <v>6661.5899999999992</v>
      </c>
      <c r="D377" s="9">
        <v>54</v>
      </c>
      <c r="E377" s="10">
        <v>7</v>
      </c>
      <c r="F377" s="476">
        <f t="shared" si="227"/>
        <v>159878.15999999997</v>
      </c>
      <c r="G377" s="476">
        <f t="shared" si="228"/>
        <v>6661.5899999999992</v>
      </c>
      <c r="H377">
        <f t="shared" si="259"/>
        <v>167603.75999999998</v>
      </c>
      <c r="I377">
        <f t="shared" si="260"/>
        <v>6983.4899999999989</v>
      </c>
      <c r="L377" t="s">
        <v>485</v>
      </c>
      <c r="M377" s="143">
        <f t="shared" si="261"/>
        <v>76.569999999999993</v>
      </c>
      <c r="N377" s="476">
        <f t="shared" si="238"/>
        <v>0</v>
      </c>
      <c r="O377" s="142">
        <f t="shared" si="232"/>
        <v>76.569999999999993</v>
      </c>
      <c r="P377" s="476">
        <f t="shared" si="233"/>
        <v>159878.15999999997</v>
      </c>
      <c r="Q377" s="476"/>
      <c r="R377" s="476">
        <f t="shared" si="243"/>
        <v>0</v>
      </c>
      <c r="S377" s="476">
        <f t="shared" si="234"/>
        <v>76.569999999999993</v>
      </c>
      <c r="T377" s="478">
        <f t="shared" si="262"/>
        <v>159878.15999999997</v>
      </c>
      <c r="U377" t="s">
        <v>485</v>
      </c>
      <c r="V377" s="478">
        <f t="shared" si="263"/>
        <v>0</v>
      </c>
      <c r="W377" s="142">
        <f t="shared" si="237"/>
        <v>0</v>
      </c>
      <c r="X377" s="1076"/>
    </row>
    <row r="378" spans="1:24" x14ac:dyDescent="0.2">
      <c r="A378" t="s">
        <v>486</v>
      </c>
      <c r="B378" s="478">
        <f t="shared" si="258"/>
        <v>167603.75999999998</v>
      </c>
      <c r="C378" s="478">
        <f t="shared" si="258"/>
        <v>6983.4899999999989</v>
      </c>
      <c r="D378" s="9">
        <v>54</v>
      </c>
      <c r="E378" s="10">
        <v>8</v>
      </c>
      <c r="F378" s="476">
        <f t="shared" si="227"/>
        <v>167603.75999999998</v>
      </c>
      <c r="G378" s="476">
        <f t="shared" si="228"/>
        <v>6983.4899999999989</v>
      </c>
      <c r="H378">
        <f t="shared" si="259"/>
        <v>175746.96</v>
      </c>
      <c r="I378">
        <f t="shared" si="260"/>
        <v>7322.79</v>
      </c>
      <c r="L378" t="s">
        <v>486</v>
      </c>
      <c r="M378" s="143">
        <f t="shared" si="261"/>
        <v>80.27</v>
      </c>
      <c r="N378" s="476">
        <f t="shared" si="238"/>
        <v>0</v>
      </c>
      <c r="O378" s="142">
        <f t="shared" si="232"/>
        <v>80.27</v>
      </c>
      <c r="P378" s="476">
        <f t="shared" si="233"/>
        <v>167603.75999999998</v>
      </c>
      <c r="Q378" s="476"/>
      <c r="R378" s="476">
        <f t="shared" si="243"/>
        <v>0</v>
      </c>
      <c r="S378" s="476">
        <f t="shared" si="234"/>
        <v>80.27</v>
      </c>
      <c r="T378" s="478">
        <f t="shared" si="262"/>
        <v>167603.75999999998</v>
      </c>
      <c r="U378" t="s">
        <v>486</v>
      </c>
      <c r="V378" s="478">
        <f t="shared" si="263"/>
        <v>0</v>
      </c>
      <c r="W378" s="142">
        <f t="shared" si="237"/>
        <v>0</v>
      </c>
      <c r="X378" s="1076"/>
    </row>
    <row r="379" spans="1:24" x14ac:dyDescent="0.2">
      <c r="A379" t="s">
        <v>487</v>
      </c>
      <c r="B379" s="478">
        <f t="shared" si="258"/>
        <v>175746.96</v>
      </c>
      <c r="C379" s="478">
        <f t="shared" si="258"/>
        <v>7322.79</v>
      </c>
      <c r="D379" s="9">
        <v>54</v>
      </c>
      <c r="E379" s="10">
        <v>9</v>
      </c>
      <c r="F379" s="476">
        <f t="shared" si="227"/>
        <v>175746.96</v>
      </c>
      <c r="G379" s="476">
        <f t="shared" si="228"/>
        <v>7322.79</v>
      </c>
      <c r="H379">
        <f t="shared" si="259"/>
        <v>184203.36</v>
      </c>
      <c r="I379">
        <f t="shared" si="260"/>
        <v>7675.1399999999994</v>
      </c>
      <c r="L379" t="s">
        <v>487</v>
      </c>
      <c r="M379" s="143">
        <f t="shared" si="261"/>
        <v>84.17</v>
      </c>
      <c r="N379" s="476">
        <f t="shared" si="238"/>
        <v>0</v>
      </c>
      <c r="O379" s="142">
        <f t="shared" si="232"/>
        <v>84.17</v>
      </c>
      <c r="P379" s="476">
        <f t="shared" si="233"/>
        <v>175746.96</v>
      </c>
      <c r="Q379" s="476"/>
      <c r="R379" s="476">
        <f t="shared" si="243"/>
        <v>0</v>
      </c>
      <c r="S379" s="476">
        <f t="shared" si="234"/>
        <v>84.17</v>
      </c>
      <c r="T379" s="478">
        <f t="shared" si="262"/>
        <v>175746.96</v>
      </c>
      <c r="U379" t="s">
        <v>487</v>
      </c>
      <c r="V379" s="478">
        <f t="shared" si="263"/>
        <v>0</v>
      </c>
      <c r="W379" s="142">
        <f t="shared" si="237"/>
        <v>0</v>
      </c>
      <c r="X379" s="1076"/>
    </row>
    <row r="380" spans="1:24" x14ac:dyDescent="0.2">
      <c r="A380" t="s">
        <v>488</v>
      </c>
      <c r="B380" s="477">
        <f>P380</f>
        <v>184203.36</v>
      </c>
      <c r="C380" s="477">
        <f>B380/24</f>
        <v>7675.1399999999994</v>
      </c>
      <c r="D380" s="9">
        <v>54</v>
      </c>
      <c r="E380" s="10">
        <v>10</v>
      </c>
      <c r="F380" s="476">
        <f t="shared" si="227"/>
        <v>184203.36</v>
      </c>
      <c r="G380" s="476">
        <f t="shared" si="228"/>
        <v>7675.1399999999994</v>
      </c>
      <c r="H380">
        <f>F380</f>
        <v>184203.36</v>
      </c>
      <c r="I380">
        <f>G380</f>
        <v>7675.1399999999994</v>
      </c>
      <c r="L380" t="s">
        <v>488</v>
      </c>
      <c r="M380" s="612">
        <v>88.22</v>
      </c>
      <c r="N380" s="476">
        <f t="shared" si="238"/>
        <v>0</v>
      </c>
      <c r="O380" s="142">
        <f t="shared" si="232"/>
        <v>88.22</v>
      </c>
      <c r="P380" s="476">
        <f t="shared" si="233"/>
        <v>184203.36</v>
      </c>
      <c r="Q380" s="476"/>
      <c r="R380" s="476">
        <f t="shared" si="243"/>
        <v>0</v>
      </c>
      <c r="S380" s="476">
        <f t="shared" si="234"/>
        <v>88.22</v>
      </c>
      <c r="T380" s="477">
        <f>S380*$T$9</f>
        <v>184203.36</v>
      </c>
      <c r="U380" t="s">
        <v>488</v>
      </c>
      <c r="V380" s="142">
        <f>R380*2088</f>
        <v>0</v>
      </c>
      <c r="W380" s="142">
        <f t="shared" si="237"/>
        <v>0</v>
      </c>
      <c r="X380" s="1076"/>
    </row>
    <row r="381" spans="1:24" x14ac:dyDescent="0.2">
      <c r="A381" t="s">
        <v>489</v>
      </c>
      <c r="B381" s="478">
        <f t="shared" ref="B381:C389" si="264">B372</f>
        <v>126386.64</v>
      </c>
      <c r="C381" s="478">
        <f t="shared" si="264"/>
        <v>5266.11</v>
      </c>
      <c r="D381" s="9">
        <v>55</v>
      </c>
      <c r="E381" s="10" t="s">
        <v>23</v>
      </c>
      <c r="F381" s="476">
        <f t="shared" si="227"/>
        <v>126386.64</v>
      </c>
      <c r="G381" s="476">
        <f t="shared" si="228"/>
        <v>5266.11</v>
      </c>
      <c r="H381">
        <f t="shared" ref="H381:H389" si="265">F382</f>
        <v>132441.84</v>
      </c>
      <c r="I381">
        <f t="shared" ref="I381:I389" si="266">G382</f>
        <v>5518.41</v>
      </c>
      <c r="L381" t="s">
        <v>489</v>
      </c>
      <c r="M381" s="143">
        <f t="shared" ref="M381:M389" si="267">M372</f>
        <v>60.53</v>
      </c>
      <c r="N381" s="476">
        <f t="shared" si="238"/>
        <v>0</v>
      </c>
      <c r="O381" s="142">
        <f t="shared" si="232"/>
        <v>60.53</v>
      </c>
      <c r="P381" s="476">
        <f t="shared" si="233"/>
        <v>126386.64</v>
      </c>
      <c r="Q381" s="476"/>
      <c r="R381" s="476">
        <f t="shared" si="243"/>
        <v>0</v>
      </c>
      <c r="S381" s="476">
        <f t="shared" si="234"/>
        <v>60.53</v>
      </c>
      <c r="T381" s="478">
        <f t="shared" ref="T381:T389" si="268">T372</f>
        <v>126386.64</v>
      </c>
      <c r="U381" t="s">
        <v>489</v>
      </c>
      <c r="V381" s="478">
        <f t="shared" ref="V381:V389" si="269">V372</f>
        <v>0</v>
      </c>
      <c r="W381" s="142">
        <f t="shared" si="237"/>
        <v>0</v>
      </c>
      <c r="X381" s="1076"/>
    </row>
    <row r="382" spans="1:24" x14ac:dyDescent="0.2">
      <c r="A382" t="s">
        <v>490</v>
      </c>
      <c r="B382" s="478">
        <f t="shared" si="264"/>
        <v>132441.84</v>
      </c>
      <c r="C382" s="478">
        <f t="shared" si="264"/>
        <v>5518.41</v>
      </c>
      <c r="D382" s="9">
        <v>55</v>
      </c>
      <c r="E382" s="10">
        <v>2</v>
      </c>
      <c r="F382" s="476">
        <f t="shared" si="227"/>
        <v>132441.84</v>
      </c>
      <c r="G382" s="476">
        <f t="shared" si="228"/>
        <v>5518.41</v>
      </c>
      <c r="H382">
        <f t="shared" si="265"/>
        <v>138789.35999999999</v>
      </c>
      <c r="I382">
        <f t="shared" si="266"/>
        <v>5782.8899999999994</v>
      </c>
      <c r="L382" t="s">
        <v>490</v>
      </c>
      <c r="M382" s="143">
        <f t="shared" si="267"/>
        <v>63.43</v>
      </c>
      <c r="N382" s="476">
        <f t="shared" si="238"/>
        <v>0</v>
      </c>
      <c r="O382" s="142">
        <f t="shared" si="232"/>
        <v>63.43</v>
      </c>
      <c r="P382" s="476">
        <f t="shared" si="233"/>
        <v>132441.84</v>
      </c>
      <c r="Q382" s="476"/>
      <c r="R382" s="476">
        <f t="shared" si="243"/>
        <v>0</v>
      </c>
      <c r="S382" s="476">
        <f t="shared" si="234"/>
        <v>63.43</v>
      </c>
      <c r="T382" s="478">
        <f t="shared" si="268"/>
        <v>132441.84</v>
      </c>
      <c r="U382" t="s">
        <v>490</v>
      </c>
      <c r="V382" s="478">
        <f t="shared" si="269"/>
        <v>0</v>
      </c>
      <c r="W382" s="142">
        <f t="shared" si="237"/>
        <v>0</v>
      </c>
      <c r="X382" s="1076"/>
    </row>
    <row r="383" spans="1:24" x14ac:dyDescent="0.2">
      <c r="A383" t="s">
        <v>491</v>
      </c>
      <c r="B383" s="478">
        <f t="shared" si="264"/>
        <v>138789.35999999999</v>
      </c>
      <c r="C383" s="478">
        <f t="shared" si="264"/>
        <v>5782.8899999999994</v>
      </c>
      <c r="D383" s="9">
        <v>55</v>
      </c>
      <c r="E383" s="10">
        <v>3</v>
      </c>
      <c r="F383" s="476">
        <f t="shared" si="227"/>
        <v>138789.35999999999</v>
      </c>
      <c r="G383" s="476">
        <f t="shared" si="228"/>
        <v>5782.8899999999994</v>
      </c>
      <c r="H383">
        <f t="shared" si="265"/>
        <v>145470.96</v>
      </c>
      <c r="I383">
        <f t="shared" si="266"/>
        <v>6061.29</v>
      </c>
      <c r="L383" t="s">
        <v>491</v>
      </c>
      <c r="M383" s="143">
        <f t="shared" si="267"/>
        <v>66.47</v>
      </c>
      <c r="N383" s="476">
        <f t="shared" si="238"/>
        <v>0</v>
      </c>
      <c r="O383" s="142">
        <f t="shared" si="232"/>
        <v>66.47</v>
      </c>
      <c r="P383" s="476">
        <f t="shared" si="233"/>
        <v>138789.35999999999</v>
      </c>
      <c r="Q383" s="476"/>
      <c r="R383" s="476">
        <f t="shared" si="243"/>
        <v>0</v>
      </c>
      <c r="S383" s="476">
        <f t="shared" si="234"/>
        <v>66.47</v>
      </c>
      <c r="T383" s="478">
        <f t="shared" si="268"/>
        <v>138789.35999999999</v>
      </c>
      <c r="U383" t="s">
        <v>491</v>
      </c>
      <c r="V383" s="478">
        <f t="shared" si="269"/>
        <v>0</v>
      </c>
      <c r="W383" s="142">
        <f t="shared" si="237"/>
        <v>0</v>
      </c>
      <c r="X383" s="1076"/>
    </row>
    <row r="384" spans="1:24" x14ac:dyDescent="0.2">
      <c r="A384" t="s">
        <v>492</v>
      </c>
      <c r="B384" s="478">
        <f t="shared" si="264"/>
        <v>145470.96</v>
      </c>
      <c r="C384" s="478">
        <f t="shared" si="264"/>
        <v>6061.29</v>
      </c>
      <c r="D384" s="9">
        <v>55</v>
      </c>
      <c r="E384" s="10">
        <v>4</v>
      </c>
      <c r="F384" s="476">
        <f t="shared" si="227"/>
        <v>145470.96</v>
      </c>
      <c r="G384" s="476">
        <f t="shared" si="228"/>
        <v>6061.29</v>
      </c>
      <c r="H384">
        <f t="shared" si="265"/>
        <v>152424</v>
      </c>
      <c r="I384">
        <f t="shared" si="266"/>
        <v>6351</v>
      </c>
      <c r="L384" t="s">
        <v>492</v>
      </c>
      <c r="M384" s="143">
        <f t="shared" si="267"/>
        <v>69.67</v>
      </c>
      <c r="N384" s="476">
        <f t="shared" si="238"/>
        <v>0</v>
      </c>
      <c r="O384" s="142">
        <f t="shared" si="232"/>
        <v>69.67</v>
      </c>
      <c r="P384" s="476">
        <f t="shared" si="233"/>
        <v>145470.96</v>
      </c>
      <c r="Q384" s="476"/>
      <c r="R384" s="476">
        <f t="shared" si="243"/>
        <v>0</v>
      </c>
      <c r="S384" s="476">
        <f t="shared" si="234"/>
        <v>69.67</v>
      </c>
      <c r="T384" s="478">
        <f t="shared" si="268"/>
        <v>145470.96</v>
      </c>
      <c r="U384" t="s">
        <v>492</v>
      </c>
      <c r="V384" s="478">
        <f t="shared" si="269"/>
        <v>0</v>
      </c>
      <c r="W384" s="142">
        <f t="shared" si="237"/>
        <v>0</v>
      </c>
      <c r="X384" s="1076"/>
    </row>
    <row r="385" spans="1:24" x14ac:dyDescent="0.2">
      <c r="A385" t="s">
        <v>493</v>
      </c>
      <c r="B385" s="478">
        <f t="shared" si="264"/>
        <v>152424</v>
      </c>
      <c r="C385" s="478">
        <f t="shared" si="264"/>
        <v>6351</v>
      </c>
      <c r="D385" s="9">
        <v>55</v>
      </c>
      <c r="E385" s="10">
        <v>5</v>
      </c>
      <c r="F385" s="476">
        <f t="shared" si="227"/>
        <v>152424</v>
      </c>
      <c r="G385" s="476">
        <f t="shared" si="228"/>
        <v>6351</v>
      </c>
      <c r="H385">
        <f t="shared" si="265"/>
        <v>159878.15999999997</v>
      </c>
      <c r="I385">
        <f t="shared" si="266"/>
        <v>6661.5899999999992</v>
      </c>
      <c r="L385" t="s">
        <v>493</v>
      </c>
      <c r="M385" s="143">
        <f t="shared" si="267"/>
        <v>73</v>
      </c>
      <c r="N385" s="476">
        <f t="shared" si="238"/>
        <v>0</v>
      </c>
      <c r="O385" s="142">
        <f t="shared" si="232"/>
        <v>73</v>
      </c>
      <c r="P385" s="476">
        <f t="shared" si="233"/>
        <v>152424</v>
      </c>
      <c r="Q385" s="476"/>
      <c r="R385" s="476">
        <f t="shared" si="243"/>
        <v>0</v>
      </c>
      <c r="S385" s="476">
        <f t="shared" si="234"/>
        <v>73</v>
      </c>
      <c r="T385" s="478">
        <f t="shared" si="268"/>
        <v>152424</v>
      </c>
      <c r="U385" t="s">
        <v>493</v>
      </c>
      <c r="V385" s="478">
        <f t="shared" si="269"/>
        <v>0</v>
      </c>
      <c r="W385" s="142">
        <f t="shared" si="237"/>
        <v>0</v>
      </c>
      <c r="X385" s="1076"/>
    </row>
    <row r="386" spans="1:24" x14ac:dyDescent="0.2">
      <c r="A386" t="s">
        <v>494</v>
      </c>
      <c r="B386" s="478">
        <f t="shared" si="264"/>
        <v>159878.15999999997</v>
      </c>
      <c r="C386" s="478">
        <f t="shared" si="264"/>
        <v>6661.5899999999992</v>
      </c>
      <c r="D386" s="9">
        <v>55</v>
      </c>
      <c r="E386" s="10">
        <v>6</v>
      </c>
      <c r="F386" s="476">
        <f t="shared" si="227"/>
        <v>159878.15999999997</v>
      </c>
      <c r="G386" s="476">
        <f t="shared" si="228"/>
        <v>6661.5899999999992</v>
      </c>
      <c r="H386">
        <f t="shared" si="265"/>
        <v>167603.75999999998</v>
      </c>
      <c r="I386">
        <f t="shared" si="266"/>
        <v>6983.4899999999989</v>
      </c>
      <c r="L386" t="s">
        <v>494</v>
      </c>
      <c r="M386" s="143">
        <f t="shared" si="267"/>
        <v>76.569999999999993</v>
      </c>
      <c r="N386" s="476">
        <f t="shared" si="238"/>
        <v>0</v>
      </c>
      <c r="O386" s="142">
        <f t="shared" si="232"/>
        <v>76.569999999999993</v>
      </c>
      <c r="P386" s="476">
        <f t="shared" si="233"/>
        <v>159878.15999999997</v>
      </c>
      <c r="Q386" s="476"/>
      <c r="R386" s="476">
        <f t="shared" si="243"/>
        <v>0</v>
      </c>
      <c r="S386" s="476">
        <f t="shared" si="234"/>
        <v>76.569999999999993</v>
      </c>
      <c r="T386" s="478">
        <f t="shared" si="268"/>
        <v>159878.15999999997</v>
      </c>
      <c r="U386" t="s">
        <v>494</v>
      </c>
      <c r="V386" s="478">
        <f t="shared" si="269"/>
        <v>0</v>
      </c>
      <c r="W386" s="142">
        <f t="shared" si="237"/>
        <v>0</v>
      </c>
      <c r="X386" s="1076"/>
    </row>
    <row r="387" spans="1:24" x14ac:dyDescent="0.2">
      <c r="A387" t="s">
        <v>495</v>
      </c>
      <c r="B387" s="478">
        <f t="shared" si="264"/>
        <v>167603.75999999998</v>
      </c>
      <c r="C387" s="478">
        <f t="shared" si="264"/>
        <v>6983.4899999999989</v>
      </c>
      <c r="D387" s="9">
        <v>55</v>
      </c>
      <c r="E387" s="10">
        <v>7</v>
      </c>
      <c r="F387" s="476">
        <f t="shared" si="227"/>
        <v>167603.75999999998</v>
      </c>
      <c r="G387" s="476">
        <f t="shared" si="228"/>
        <v>6983.4899999999989</v>
      </c>
      <c r="H387">
        <f t="shared" si="265"/>
        <v>175746.96</v>
      </c>
      <c r="I387">
        <f t="shared" si="266"/>
        <v>7322.79</v>
      </c>
      <c r="L387" t="s">
        <v>495</v>
      </c>
      <c r="M387" s="143">
        <f t="shared" si="267"/>
        <v>80.27</v>
      </c>
      <c r="N387" s="476">
        <f t="shared" si="238"/>
        <v>0</v>
      </c>
      <c r="O387" s="142">
        <f t="shared" si="232"/>
        <v>80.27</v>
      </c>
      <c r="P387" s="476">
        <f t="shared" si="233"/>
        <v>167603.75999999998</v>
      </c>
      <c r="Q387" s="476"/>
      <c r="R387" s="476">
        <f t="shared" si="243"/>
        <v>0</v>
      </c>
      <c r="S387" s="476">
        <f t="shared" si="234"/>
        <v>80.27</v>
      </c>
      <c r="T387" s="478">
        <f t="shared" si="268"/>
        <v>167603.75999999998</v>
      </c>
      <c r="U387" t="s">
        <v>495</v>
      </c>
      <c r="V387" s="478">
        <f t="shared" si="269"/>
        <v>0</v>
      </c>
      <c r="W387" s="142">
        <f t="shared" si="237"/>
        <v>0</v>
      </c>
      <c r="X387" s="1076"/>
    </row>
    <row r="388" spans="1:24" x14ac:dyDescent="0.2">
      <c r="A388" t="s">
        <v>496</v>
      </c>
      <c r="B388" s="478">
        <f t="shared" si="264"/>
        <v>175746.96</v>
      </c>
      <c r="C388" s="478">
        <f t="shared" si="264"/>
        <v>7322.79</v>
      </c>
      <c r="D388" s="9">
        <v>55</v>
      </c>
      <c r="E388" s="10">
        <v>8</v>
      </c>
      <c r="F388" s="476">
        <f t="shared" si="227"/>
        <v>175746.96</v>
      </c>
      <c r="G388" s="476">
        <f t="shared" si="228"/>
        <v>7322.79</v>
      </c>
      <c r="H388">
        <f t="shared" si="265"/>
        <v>184203.36</v>
      </c>
      <c r="I388">
        <f t="shared" si="266"/>
        <v>7675.1399999999994</v>
      </c>
      <c r="L388" t="s">
        <v>496</v>
      </c>
      <c r="M388" s="143">
        <f t="shared" si="267"/>
        <v>84.17</v>
      </c>
      <c r="N388" s="476">
        <f t="shared" si="238"/>
        <v>0</v>
      </c>
      <c r="O388" s="142">
        <f t="shared" si="232"/>
        <v>84.17</v>
      </c>
      <c r="P388" s="476">
        <f t="shared" si="233"/>
        <v>175746.96</v>
      </c>
      <c r="Q388" s="476"/>
      <c r="R388" s="476">
        <f t="shared" si="243"/>
        <v>0</v>
      </c>
      <c r="S388" s="476">
        <f t="shared" si="234"/>
        <v>84.17</v>
      </c>
      <c r="T388" s="478">
        <f t="shared" si="268"/>
        <v>175746.96</v>
      </c>
      <c r="U388" t="s">
        <v>496</v>
      </c>
      <c r="V388" s="478">
        <f t="shared" si="269"/>
        <v>0</v>
      </c>
      <c r="W388" s="142">
        <f t="shared" si="237"/>
        <v>0</v>
      </c>
      <c r="X388" s="1076"/>
    </row>
    <row r="389" spans="1:24" x14ac:dyDescent="0.2">
      <c r="A389" t="s">
        <v>497</v>
      </c>
      <c r="B389" s="478">
        <f t="shared" si="264"/>
        <v>184203.36</v>
      </c>
      <c r="C389" s="478">
        <f t="shared" si="264"/>
        <v>7675.1399999999994</v>
      </c>
      <c r="D389" s="9">
        <v>55</v>
      </c>
      <c r="E389" s="10">
        <v>9</v>
      </c>
      <c r="F389" s="476">
        <f t="shared" si="227"/>
        <v>184203.36</v>
      </c>
      <c r="G389" s="476">
        <f t="shared" si="228"/>
        <v>7675.1399999999994</v>
      </c>
      <c r="H389">
        <f t="shared" si="265"/>
        <v>192743.28</v>
      </c>
      <c r="I389">
        <f t="shared" si="266"/>
        <v>8030.97</v>
      </c>
      <c r="L389" t="s">
        <v>497</v>
      </c>
      <c r="M389" s="143">
        <f t="shared" si="267"/>
        <v>88.22</v>
      </c>
      <c r="N389" s="476">
        <f t="shared" si="238"/>
        <v>0</v>
      </c>
      <c r="O389" s="142">
        <f t="shared" si="232"/>
        <v>88.22</v>
      </c>
      <c r="P389" s="476">
        <f t="shared" si="233"/>
        <v>184203.36</v>
      </c>
      <c r="Q389" s="476"/>
      <c r="R389" s="476">
        <f t="shared" si="243"/>
        <v>0</v>
      </c>
      <c r="S389" s="476">
        <f t="shared" si="234"/>
        <v>88.22</v>
      </c>
      <c r="T389" s="478">
        <f t="shared" si="268"/>
        <v>184203.36</v>
      </c>
      <c r="U389" t="s">
        <v>497</v>
      </c>
      <c r="V389" s="478">
        <f t="shared" si="269"/>
        <v>0</v>
      </c>
      <c r="W389" s="142">
        <f t="shared" si="237"/>
        <v>0</v>
      </c>
      <c r="X389" s="1076"/>
    </row>
    <row r="390" spans="1:24" x14ac:dyDescent="0.2">
      <c r="A390" t="s">
        <v>498</v>
      </c>
      <c r="B390" s="477">
        <f>P390</f>
        <v>192743.28</v>
      </c>
      <c r="C390" s="477">
        <f>B390/24</f>
        <v>8030.97</v>
      </c>
      <c r="D390" s="9">
        <v>55</v>
      </c>
      <c r="E390" s="10">
        <v>10</v>
      </c>
      <c r="F390" s="476">
        <f t="shared" si="227"/>
        <v>192743.28</v>
      </c>
      <c r="G390" s="476">
        <f t="shared" si="228"/>
        <v>8030.97</v>
      </c>
      <c r="H390">
        <f>F390</f>
        <v>192743.28</v>
      </c>
      <c r="I390">
        <f>G390</f>
        <v>8030.97</v>
      </c>
      <c r="L390" t="s">
        <v>498</v>
      </c>
      <c r="M390" s="612">
        <v>92.31</v>
      </c>
      <c r="N390" s="476">
        <f t="shared" si="238"/>
        <v>0</v>
      </c>
      <c r="O390" s="142">
        <f t="shared" si="232"/>
        <v>92.31</v>
      </c>
      <c r="P390" s="476">
        <f t="shared" si="233"/>
        <v>192743.28</v>
      </c>
      <c r="Q390" s="476"/>
      <c r="R390" s="476">
        <f t="shared" si="243"/>
        <v>0</v>
      </c>
      <c r="S390" s="476">
        <f t="shared" si="234"/>
        <v>92.31</v>
      </c>
      <c r="T390" s="477">
        <f>S390*$T$9</f>
        <v>192743.28</v>
      </c>
      <c r="U390" t="s">
        <v>498</v>
      </c>
      <c r="V390" s="142">
        <f>R390*2088</f>
        <v>0</v>
      </c>
      <c r="W390" s="142">
        <f t="shared" si="237"/>
        <v>0</v>
      </c>
      <c r="X390" s="1076"/>
    </row>
    <row r="392" spans="1:24" x14ac:dyDescent="0.2">
      <c r="P392" s="142"/>
      <c r="Q392" s="476"/>
    </row>
  </sheetData>
  <autoFilter ref="A9:X390"/>
  <phoneticPr fontId="7" type="noConversion"/>
  <hyperlinks>
    <hyperlink ref="X4" r:id="rId1"/>
  </hyperlinks>
  <pageMargins left="0.75" right="0.75" top="1" bottom="1" header="0.5" footer="0.5"/>
  <pageSetup scale="70" orientation="portrait" r:id="rId2"/>
  <headerFooter alignWithMargins="0"/>
  <drawing r:id="rId3"/>
  <legacyDrawing r:id="rId4"/>
  <oleObjects>
    <mc:AlternateContent xmlns:mc="http://schemas.openxmlformats.org/markup-compatibility/2006">
      <mc:Choice Requires="x14">
        <oleObject progId="Acrobat Document" dvAspect="DVASPECT_ICON" shapeId="17412" r:id="rId5">
          <objectPr defaultSize="0" r:id="rId6">
            <anchor moveWithCells="1">
              <from>
                <xdr:col>23</xdr:col>
                <xdr:colOff>171450</xdr:colOff>
                <xdr:row>4</xdr:row>
                <xdr:rowOff>85725</xdr:rowOff>
              </from>
              <to>
                <xdr:col>24</xdr:col>
                <xdr:colOff>476250</xdr:colOff>
                <xdr:row>7</xdr:row>
                <xdr:rowOff>285750</xdr:rowOff>
              </to>
            </anchor>
          </objectPr>
        </oleObject>
      </mc:Choice>
      <mc:Fallback>
        <oleObject progId="Acrobat Document" dvAspect="DVASPECT_ICON" shapeId="17412" r:id="rId5"/>
      </mc:Fallback>
    </mc:AlternateContent>
  </oleObjec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AV781"/>
  <sheetViews>
    <sheetView workbookViewId="0">
      <pane xSplit="2" ySplit="5" topLeftCell="C647" activePane="bottomRight" state="frozen"/>
      <selection pane="topRight" activeCell="C1" sqref="C1"/>
      <selection pane="bottomLeft" activeCell="A8" sqref="A8"/>
      <selection pane="bottomRight" activeCell="A779" sqref="A779"/>
    </sheetView>
  </sheetViews>
  <sheetFormatPr defaultRowHeight="12.75" outlineLevelCol="1" x14ac:dyDescent="0.2"/>
  <cols>
    <col min="1" max="1" width="5.140625" style="19" customWidth="1"/>
    <col min="3" max="3" width="8.5703125" bestFit="1" customWidth="1"/>
    <col min="4" max="4" width="7.85546875" bestFit="1" customWidth="1"/>
    <col min="5" max="5" width="9.28515625" bestFit="1" customWidth="1"/>
    <col min="6" max="6" width="36.28515625" customWidth="1"/>
    <col min="9" max="9" width="11.42578125" bestFit="1" customWidth="1"/>
    <col min="10" max="10" width="18.5703125" bestFit="1" customWidth="1"/>
    <col min="11" max="11" width="15.140625" bestFit="1" customWidth="1"/>
    <col min="12" max="12" width="14.140625" bestFit="1" customWidth="1"/>
    <col min="13" max="14" width="15" bestFit="1" customWidth="1"/>
    <col min="15" max="15" width="14" bestFit="1" customWidth="1"/>
    <col min="16" max="16" width="25.85546875" hidden="1" customWidth="1" outlineLevel="1"/>
    <col min="17" max="17" width="21.28515625" hidden="1" customWidth="1" outlineLevel="1"/>
    <col min="18" max="18" width="32.140625" hidden="1" customWidth="1" outlineLevel="1"/>
    <col min="19" max="19" width="16.5703125" hidden="1" customWidth="1" outlineLevel="1"/>
    <col min="20" max="20" width="24.28515625" hidden="1" customWidth="1" outlineLevel="1"/>
    <col min="21" max="21" width="23" hidden="1" customWidth="1" outlineLevel="1"/>
    <col min="22" max="22" width="22.85546875" hidden="1" customWidth="1" outlineLevel="1"/>
    <col min="23" max="23" width="28.5703125" hidden="1" customWidth="1" outlineLevel="1"/>
    <col min="24" max="24" width="14.5703125" hidden="1" customWidth="1" outlineLevel="1"/>
    <col min="25" max="25" width="29.42578125" hidden="1" customWidth="1" outlineLevel="1"/>
    <col min="26" max="26" width="15" hidden="1" customWidth="1" outlineLevel="1"/>
    <col min="27" max="27" width="28.85546875" hidden="1" customWidth="1" outlineLevel="1"/>
    <col min="28" max="28" width="30.140625" hidden="1" customWidth="1" outlineLevel="1"/>
    <col min="29" max="29" width="17.7109375" bestFit="1" customWidth="1" collapsed="1"/>
    <col min="30" max="30" width="8.5703125" hidden="1" customWidth="1" outlineLevel="1"/>
    <col min="31" max="31" width="30.140625" hidden="1" customWidth="1" outlineLevel="1"/>
    <col min="32" max="32" width="27.5703125" bestFit="1" customWidth="1" collapsed="1"/>
    <col min="33" max="33" width="15.28515625" bestFit="1" customWidth="1"/>
    <col min="34" max="34" width="2.28515625" style="1151" customWidth="1"/>
    <col min="35" max="35" width="21.5703125" hidden="1" customWidth="1" outlineLevel="1"/>
    <col min="36" max="36" width="23.5703125" hidden="1" customWidth="1" outlineLevel="1"/>
    <col min="37" max="38" width="10.140625" hidden="1" customWidth="1" outlineLevel="1"/>
    <col min="39" max="39" width="2.28515625" style="1151" customWidth="1" collapsed="1"/>
    <col min="40" max="40" width="18.28515625" hidden="1" customWidth="1" outlineLevel="1"/>
    <col min="41" max="41" width="15.7109375" hidden="1" customWidth="1" outlineLevel="1"/>
    <col min="42" max="42" width="2.28515625" style="1151" customWidth="1" collapsed="1"/>
    <col min="43" max="43" width="12.28515625" style="1086" bestFit="1" customWidth="1"/>
    <col min="44" max="44" width="9.28515625" style="1086" bestFit="1" customWidth="1"/>
    <col min="45" max="45" width="15" style="1086" bestFit="1" customWidth="1"/>
    <col min="46" max="46" width="14" style="1086" bestFit="1" customWidth="1"/>
    <col min="48" max="48" width="16.85546875" customWidth="1"/>
  </cols>
  <sheetData>
    <row r="1" spans="1:48" x14ac:dyDescent="0.2">
      <c r="A1" s="473" t="s">
        <v>1298</v>
      </c>
    </row>
    <row r="2" spans="1:48" x14ac:dyDescent="0.2">
      <c r="A2" s="1079" t="s">
        <v>3232</v>
      </c>
    </row>
    <row r="4" spans="1:48" x14ac:dyDescent="0.2">
      <c r="B4" s="1077">
        <v>1</v>
      </c>
      <c r="C4" s="1077">
        <v>2</v>
      </c>
      <c r="D4" s="1077">
        <v>3</v>
      </c>
      <c r="E4" s="1077">
        <v>4</v>
      </c>
      <c r="F4" s="1077">
        <v>5</v>
      </c>
      <c r="G4" s="1077">
        <v>6</v>
      </c>
      <c r="H4" s="1077">
        <v>7</v>
      </c>
      <c r="I4" s="1077">
        <v>8</v>
      </c>
      <c r="J4" s="1077">
        <v>9</v>
      </c>
      <c r="K4" s="1077">
        <v>10</v>
      </c>
      <c r="L4" s="1077">
        <v>11</v>
      </c>
      <c r="M4" s="1077">
        <v>12</v>
      </c>
      <c r="N4" s="1077">
        <v>13</v>
      </c>
      <c r="O4" s="1077">
        <v>14</v>
      </c>
      <c r="P4" s="1077">
        <v>15</v>
      </c>
      <c r="Q4" s="1077">
        <v>16</v>
      </c>
      <c r="R4" s="1077">
        <v>17</v>
      </c>
      <c r="S4" s="1077">
        <v>18</v>
      </c>
      <c r="T4" s="1077">
        <v>19</v>
      </c>
      <c r="U4" s="1077">
        <v>20</v>
      </c>
      <c r="V4" s="1077">
        <v>21</v>
      </c>
      <c r="W4" s="1077">
        <v>22</v>
      </c>
      <c r="X4" s="1077">
        <v>23</v>
      </c>
      <c r="Y4" s="1077">
        <v>24</v>
      </c>
      <c r="Z4" s="1077">
        <v>25</v>
      </c>
      <c r="AA4" s="1077">
        <v>26</v>
      </c>
      <c r="AB4" s="1077">
        <v>27</v>
      </c>
      <c r="AC4" s="1077">
        <v>28</v>
      </c>
      <c r="AD4" s="1077">
        <v>29</v>
      </c>
      <c r="AE4" s="1077">
        <v>30</v>
      </c>
      <c r="AF4" s="1077"/>
      <c r="AG4" s="1077"/>
      <c r="AI4" s="325" t="s">
        <v>1249</v>
      </c>
      <c r="AJ4" s="167" t="s">
        <v>1072</v>
      </c>
      <c r="AK4" s="1" t="s">
        <v>248</v>
      </c>
      <c r="AL4" s="167" t="s">
        <v>1005</v>
      </c>
      <c r="AN4" t="s">
        <v>3877</v>
      </c>
      <c r="AO4" t="s">
        <v>3883</v>
      </c>
      <c r="AQ4" s="1077">
        <v>42</v>
      </c>
      <c r="AR4" s="1077">
        <v>43</v>
      </c>
    </row>
    <row r="5" spans="1:48" s="1082" customFormat="1" ht="38.25" x14ac:dyDescent="0.2">
      <c r="A5" s="1080"/>
      <c r="B5" s="1081" t="s">
        <v>961</v>
      </c>
      <c r="C5" s="1081" t="s">
        <v>273</v>
      </c>
      <c r="D5" s="1081" t="s">
        <v>966</v>
      </c>
      <c r="E5" s="1081" t="s">
        <v>967</v>
      </c>
      <c r="F5" s="1081" t="s">
        <v>3871</v>
      </c>
      <c r="G5" s="1081" t="s">
        <v>1302</v>
      </c>
      <c r="H5" s="1081" t="s">
        <v>968</v>
      </c>
      <c r="I5" s="1081" t="s">
        <v>1299</v>
      </c>
      <c r="J5" s="1081" t="s">
        <v>1300</v>
      </c>
      <c r="K5" s="1081" t="s">
        <v>1301</v>
      </c>
      <c r="L5" s="1081" t="s">
        <v>1303</v>
      </c>
      <c r="M5" s="1081" t="s">
        <v>1304</v>
      </c>
      <c r="N5" s="1081" t="s">
        <v>1305</v>
      </c>
      <c r="O5" s="1081" t="s">
        <v>1306</v>
      </c>
      <c r="P5" s="1081" t="s">
        <v>549</v>
      </c>
      <c r="Q5" s="1081" t="s">
        <v>535</v>
      </c>
      <c r="R5" s="1081" t="s">
        <v>1112</v>
      </c>
      <c r="S5" s="1081" t="s">
        <v>955</v>
      </c>
      <c r="T5" s="1081" t="s">
        <v>276</v>
      </c>
      <c r="U5" s="1081" t="s">
        <v>957</v>
      </c>
      <c r="V5" s="1081" t="s">
        <v>2986</v>
      </c>
      <c r="W5" s="1081" t="s">
        <v>1307</v>
      </c>
      <c r="X5" s="1081" t="s">
        <v>956</v>
      </c>
      <c r="Y5" s="1081" t="s">
        <v>958</v>
      </c>
      <c r="Z5" s="1081" t="s">
        <v>959</v>
      </c>
      <c r="AA5" s="1081" t="s">
        <v>547</v>
      </c>
      <c r="AB5" s="1081" t="s">
        <v>590</v>
      </c>
      <c r="AC5" s="1081" t="s">
        <v>3860</v>
      </c>
      <c r="AD5" s="1081" t="s">
        <v>983</v>
      </c>
      <c r="AE5" s="1081"/>
      <c r="AF5" s="1104" t="s">
        <v>3861</v>
      </c>
      <c r="AG5" s="1105" t="s">
        <v>3862</v>
      </c>
      <c r="AH5" s="1152"/>
      <c r="AI5" s="1083" t="s">
        <v>1250</v>
      </c>
      <c r="AJ5" s="1084" t="s">
        <v>1073</v>
      </c>
      <c r="AK5" s="1085" t="s">
        <v>606</v>
      </c>
      <c r="AL5" s="1084" t="s">
        <v>1026</v>
      </c>
      <c r="AM5" s="1152"/>
      <c r="AN5" t="s">
        <v>3880</v>
      </c>
      <c r="AO5" t="s">
        <v>3885</v>
      </c>
      <c r="AP5" s="1152"/>
      <c r="AQ5" s="1153" t="s">
        <v>3900</v>
      </c>
      <c r="AR5" s="1153" t="s">
        <v>3904</v>
      </c>
      <c r="AS5" s="1154" t="s">
        <v>3905</v>
      </c>
      <c r="AT5" s="1154" t="s">
        <v>3906</v>
      </c>
      <c r="AU5" s="1082" t="s">
        <v>3911</v>
      </c>
      <c r="AV5" s="1082" t="s">
        <v>3917</v>
      </c>
    </row>
    <row r="6" spans="1:48" x14ac:dyDescent="0.2">
      <c r="A6" s="19">
        <v>1</v>
      </c>
      <c r="B6" s="167" t="s">
        <v>1092</v>
      </c>
      <c r="I6" s="167" t="s">
        <v>336</v>
      </c>
      <c r="J6" s="167" t="s">
        <v>336</v>
      </c>
      <c r="K6" s="167" t="s">
        <v>336</v>
      </c>
      <c r="M6" s="1086">
        <v>0</v>
      </c>
      <c r="N6" s="1086">
        <v>0</v>
      </c>
      <c r="O6" s="1086">
        <v>0</v>
      </c>
      <c r="P6" s="1086">
        <v>0</v>
      </c>
      <c r="Q6" s="1086">
        <v>0</v>
      </c>
      <c r="R6" s="1086">
        <v>0</v>
      </c>
      <c r="S6" s="1086">
        <v>0</v>
      </c>
      <c r="T6" s="1086">
        <v>0</v>
      </c>
      <c r="U6" s="1086">
        <v>0</v>
      </c>
      <c r="V6" s="1086">
        <v>0</v>
      </c>
      <c r="W6" s="1086">
        <v>0</v>
      </c>
      <c r="X6" s="1086">
        <v>0</v>
      </c>
      <c r="Y6" s="1086">
        <v>0</v>
      </c>
      <c r="Z6" s="1086">
        <v>0</v>
      </c>
      <c r="AA6" s="1086">
        <v>0</v>
      </c>
      <c r="AB6" s="1086">
        <v>0</v>
      </c>
      <c r="AC6" s="1086">
        <v>0</v>
      </c>
      <c r="AD6" s="1086"/>
      <c r="AE6" s="1086"/>
      <c r="AF6" s="1086"/>
      <c r="AG6" s="1086"/>
      <c r="AI6" s="325" t="s">
        <v>1251</v>
      </c>
      <c r="AJ6" s="167" t="s">
        <v>1074</v>
      </c>
      <c r="AK6" s="1" t="s">
        <v>607</v>
      </c>
      <c r="AL6" s="167" t="s">
        <v>1027</v>
      </c>
      <c r="AN6" t="s">
        <v>3879</v>
      </c>
      <c r="AO6" t="s">
        <v>3886</v>
      </c>
      <c r="AQ6" s="1086">
        <v>0</v>
      </c>
      <c r="AR6" s="1086">
        <v>0</v>
      </c>
    </row>
    <row r="7" spans="1:48" x14ac:dyDescent="0.2">
      <c r="A7" s="19">
        <v>2</v>
      </c>
      <c r="B7" s="167" t="s">
        <v>774</v>
      </c>
      <c r="I7" s="167" t="s">
        <v>336</v>
      </c>
      <c r="J7" s="167" t="s">
        <v>336</v>
      </c>
      <c r="K7" s="167" t="s">
        <v>336</v>
      </c>
      <c r="M7" s="1086">
        <v>0</v>
      </c>
      <c r="N7" s="1086">
        <v>0</v>
      </c>
      <c r="O7" s="1086">
        <v>0</v>
      </c>
      <c r="P7" s="1086">
        <v>0</v>
      </c>
      <c r="Q7" s="1086">
        <v>0</v>
      </c>
      <c r="R7" s="1086">
        <v>0</v>
      </c>
      <c r="S7" s="1086">
        <v>0</v>
      </c>
      <c r="T7" s="1086">
        <v>0</v>
      </c>
      <c r="U7" s="1086">
        <v>0</v>
      </c>
      <c r="V7" s="1086">
        <v>0</v>
      </c>
      <c r="W7" s="1086">
        <v>0</v>
      </c>
      <c r="X7" s="1086">
        <v>0</v>
      </c>
      <c r="Y7" s="1086">
        <v>0</v>
      </c>
      <c r="Z7" s="1086">
        <v>0</v>
      </c>
      <c r="AA7" s="1086">
        <v>0</v>
      </c>
      <c r="AB7" s="1086">
        <v>0</v>
      </c>
      <c r="AC7" s="1086">
        <v>0</v>
      </c>
      <c r="AD7" s="1086"/>
      <c r="AE7" s="1086"/>
      <c r="AF7" s="1086"/>
      <c r="AG7" s="1086"/>
      <c r="AI7" s="325" t="s">
        <v>1252</v>
      </c>
      <c r="AJ7" s="167" t="s">
        <v>1075</v>
      </c>
      <c r="AK7" s="1" t="s">
        <v>608</v>
      </c>
      <c r="AL7" s="167" t="s">
        <v>1028</v>
      </c>
      <c r="AN7" t="s">
        <v>3878</v>
      </c>
      <c r="AO7" t="s">
        <v>3884</v>
      </c>
      <c r="AQ7" s="1086">
        <v>0</v>
      </c>
      <c r="AR7" s="1086">
        <v>0</v>
      </c>
    </row>
    <row r="8" spans="1:48" x14ac:dyDescent="0.2">
      <c r="A8" s="19">
        <v>3</v>
      </c>
      <c r="B8" s="167" t="s">
        <v>1308</v>
      </c>
      <c r="C8" t="s">
        <v>1290</v>
      </c>
      <c r="D8" t="s">
        <v>1054</v>
      </c>
      <c r="E8" t="s">
        <v>2080</v>
      </c>
      <c r="F8" t="s">
        <v>2286</v>
      </c>
      <c r="G8" t="s">
        <v>1250</v>
      </c>
      <c r="H8" t="s">
        <v>3827</v>
      </c>
      <c r="I8" t="s">
        <v>3839</v>
      </c>
      <c r="J8" t="s">
        <v>3244</v>
      </c>
      <c r="K8" t="s">
        <v>3245</v>
      </c>
      <c r="L8" t="s">
        <v>2480</v>
      </c>
      <c r="M8" s="1086">
        <v>76750.39</v>
      </c>
      <c r="N8" s="1086">
        <v>20305</v>
      </c>
      <c r="O8" s="1086">
        <v>0</v>
      </c>
      <c r="P8" s="1086">
        <v>37626.61</v>
      </c>
      <c r="Q8" s="1086">
        <v>0</v>
      </c>
      <c r="R8" s="1086">
        <v>0</v>
      </c>
      <c r="S8" s="1086">
        <v>17518</v>
      </c>
      <c r="T8" s="1086">
        <v>12512.07</v>
      </c>
      <c r="U8" s="1086">
        <v>36431.51</v>
      </c>
      <c r="V8" s="1086">
        <v>0</v>
      </c>
      <c r="W8" s="1086">
        <v>0</v>
      </c>
      <c r="X8" s="1086">
        <v>2223.1</v>
      </c>
      <c r="Y8" s="1086">
        <v>-122229.25</v>
      </c>
      <c r="Z8" s="1086">
        <v>0</v>
      </c>
      <c r="AA8" s="1086">
        <v>909.9</v>
      </c>
      <c r="AB8" s="1086">
        <v>0</v>
      </c>
      <c r="AC8" s="1086">
        <v>112063.45</v>
      </c>
      <c r="AD8" s="1086" t="s">
        <v>248</v>
      </c>
      <c r="AE8" s="1086" t="s">
        <v>3877</v>
      </c>
      <c r="AF8" s="1086">
        <f t="shared" ref="AF8:AF71" si="0">M8+N8+O8-(SUM(P8:AB8))-AQ8-AR8</f>
        <v>112063.45</v>
      </c>
      <c r="AG8" s="1086">
        <f>AC8-AF8</f>
        <v>0</v>
      </c>
      <c r="AI8" s="325" t="s">
        <v>1253</v>
      </c>
      <c r="AJ8" s="167" t="s">
        <v>1076</v>
      </c>
      <c r="AK8" s="1" t="s">
        <v>609</v>
      </c>
      <c r="AL8" s="1" t="s">
        <v>1029</v>
      </c>
      <c r="AN8" t="s">
        <v>3882</v>
      </c>
      <c r="AQ8" s="1086">
        <v>0</v>
      </c>
      <c r="AR8" s="1086">
        <v>0</v>
      </c>
      <c r="AS8" s="1086">
        <v>112063.45</v>
      </c>
      <c r="AT8" s="1086">
        <f t="shared" ref="AT8:AT71" si="1">AC8-AS8</f>
        <v>0</v>
      </c>
      <c r="AV8" s="1150">
        <f>SUM(P8:AB8)+AQ8+AR8</f>
        <v>-15008.059999999992</v>
      </c>
    </row>
    <row r="9" spans="1:48" x14ac:dyDescent="0.2">
      <c r="A9" s="19">
        <v>4</v>
      </c>
      <c r="B9" t="s">
        <v>1309</v>
      </c>
      <c r="C9" t="s">
        <v>1290</v>
      </c>
      <c r="D9" t="s">
        <v>1027</v>
      </c>
      <c r="E9" t="s">
        <v>2081</v>
      </c>
      <c r="F9" t="s">
        <v>2287</v>
      </c>
      <c r="G9" t="s">
        <v>1254</v>
      </c>
      <c r="H9" t="s">
        <v>3824</v>
      </c>
      <c r="I9" t="s">
        <v>3839</v>
      </c>
      <c r="J9" t="s">
        <v>3246</v>
      </c>
      <c r="K9" t="s">
        <v>3247</v>
      </c>
      <c r="L9" t="s">
        <v>2481</v>
      </c>
      <c r="M9" s="1086">
        <v>195955.9</v>
      </c>
      <c r="N9" s="1086">
        <v>233444.76</v>
      </c>
      <c r="O9" s="1086">
        <v>8972.65</v>
      </c>
      <c r="P9" s="1086">
        <v>0</v>
      </c>
      <c r="Q9" s="1086">
        <v>0</v>
      </c>
      <c r="R9" s="1086">
        <v>0</v>
      </c>
      <c r="S9" s="1086">
        <v>0</v>
      </c>
      <c r="T9" s="1086">
        <v>0</v>
      </c>
      <c r="U9" s="1086">
        <v>39635.01</v>
      </c>
      <c r="V9" s="1086">
        <v>0</v>
      </c>
      <c r="W9" s="1086">
        <v>0</v>
      </c>
      <c r="X9" s="1086">
        <v>0</v>
      </c>
      <c r="Y9" s="1086">
        <v>0</v>
      </c>
      <c r="Z9" s="1086">
        <v>0</v>
      </c>
      <c r="AA9" s="1086">
        <v>5945.97</v>
      </c>
      <c r="AB9" s="1086">
        <v>0</v>
      </c>
      <c r="AC9" s="1086">
        <v>392429.96</v>
      </c>
      <c r="AD9" s="1086" t="s">
        <v>248</v>
      </c>
      <c r="AE9" s="1086" t="s">
        <v>3877</v>
      </c>
      <c r="AF9" s="1086">
        <f t="shared" si="0"/>
        <v>392429.96000000008</v>
      </c>
      <c r="AG9" s="1086">
        <f t="shared" ref="AG9:AG71" si="2">AC9-AF9</f>
        <v>0</v>
      </c>
      <c r="AI9" s="325" t="s">
        <v>608</v>
      </c>
      <c r="AJ9" s="167" t="s">
        <v>1077</v>
      </c>
      <c r="AK9" s="1" t="s">
        <v>883</v>
      </c>
      <c r="AL9" s="167" t="s">
        <v>1030</v>
      </c>
      <c r="AN9" t="s">
        <v>3881</v>
      </c>
      <c r="AO9" t="s">
        <v>3887</v>
      </c>
      <c r="AQ9" s="1086">
        <v>362.37</v>
      </c>
      <c r="AR9" s="1086">
        <v>0</v>
      </c>
      <c r="AS9" s="1086">
        <v>392429.96</v>
      </c>
      <c r="AT9" s="1086">
        <f t="shared" si="1"/>
        <v>0</v>
      </c>
      <c r="AV9" s="1150">
        <f t="shared" ref="AV9:AV72" si="3">SUM(P9:AB9)+AQ9+AR9</f>
        <v>45943.350000000006</v>
      </c>
    </row>
    <row r="10" spans="1:48" x14ac:dyDescent="0.2">
      <c r="A10" s="19">
        <v>5</v>
      </c>
      <c r="B10" t="s">
        <v>1310</v>
      </c>
      <c r="C10" t="s">
        <v>1290</v>
      </c>
      <c r="D10" t="s">
        <v>1027</v>
      </c>
      <c r="E10" t="s">
        <v>2081</v>
      </c>
      <c r="F10" t="s">
        <v>2287</v>
      </c>
      <c r="G10" t="s">
        <v>1254</v>
      </c>
      <c r="H10" t="s">
        <v>3822</v>
      </c>
      <c r="I10" t="s">
        <v>3839</v>
      </c>
      <c r="J10" t="s">
        <v>3246</v>
      </c>
      <c r="K10" t="s">
        <v>3248</v>
      </c>
      <c r="L10" t="s">
        <v>2482</v>
      </c>
      <c r="M10" s="1086">
        <v>937401.53</v>
      </c>
      <c r="N10" s="1086">
        <v>471587.88</v>
      </c>
      <c r="O10" s="1086">
        <v>84773</v>
      </c>
      <c r="P10" s="1086">
        <v>276174.28000000003</v>
      </c>
      <c r="Q10" s="1086">
        <v>0</v>
      </c>
      <c r="R10" s="1086">
        <v>20262.62</v>
      </c>
      <c r="S10" s="1086">
        <v>6441.4</v>
      </c>
      <c r="T10" s="1086">
        <v>56170.54</v>
      </c>
      <c r="U10" s="1086">
        <v>53088.2</v>
      </c>
      <c r="V10" s="1086">
        <v>0</v>
      </c>
      <c r="W10" s="1086">
        <v>3001.27</v>
      </c>
      <c r="X10" s="1086">
        <v>7747.28</v>
      </c>
      <c r="Y10" s="1086">
        <v>0</v>
      </c>
      <c r="Z10" s="1086">
        <v>0</v>
      </c>
      <c r="AA10" s="1086">
        <v>24803.23</v>
      </c>
      <c r="AB10" s="1086">
        <v>0</v>
      </c>
      <c r="AC10" s="1086">
        <v>1045992.97</v>
      </c>
      <c r="AD10" s="1086" t="s">
        <v>248</v>
      </c>
      <c r="AE10" s="1086" t="s">
        <v>3877</v>
      </c>
      <c r="AF10" s="1086">
        <f t="shared" si="0"/>
        <v>1045992.9700000001</v>
      </c>
      <c r="AG10" s="1086">
        <f t="shared" si="2"/>
        <v>0</v>
      </c>
      <c r="AI10" s="325" t="s">
        <v>1254</v>
      </c>
      <c r="AJ10" s="167" t="s">
        <v>1078</v>
      </c>
      <c r="AL10" s="1" t="s">
        <v>1031</v>
      </c>
      <c r="AQ10" s="1086">
        <v>80.62</v>
      </c>
      <c r="AR10" s="1086">
        <v>0</v>
      </c>
      <c r="AS10" s="1086">
        <v>1045992.97</v>
      </c>
      <c r="AT10" s="1086">
        <f t="shared" si="1"/>
        <v>0</v>
      </c>
      <c r="AV10" s="1150">
        <f t="shared" si="3"/>
        <v>447769.44000000006</v>
      </c>
    </row>
    <row r="11" spans="1:48" x14ac:dyDescent="0.2">
      <c r="A11" s="19">
        <v>6</v>
      </c>
      <c r="B11" t="s">
        <v>1311</v>
      </c>
      <c r="C11" t="s">
        <v>1290</v>
      </c>
      <c r="D11" t="s">
        <v>1061</v>
      </c>
      <c r="E11" t="s">
        <v>2082</v>
      </c>
      <c r="F11" t="s">
        <v>2288</v>
      </c>
      <c r="G11" t="s">
        <v>1256</v>
      </c>
      <c r="H11" t="s">
        <v>3827</v>
      </c>
      <c r="I11" t="s">
        <v>3839</v>
      </c>
      <c r="J11" t="s">
        <v>3249</v>
      </c>
      <c r="K11" t="s">
        <v>3250</v>
      </c>
      <c r="L11" t="s">
        <v>2483</v>
      </c>
      <c r="M11" s="1086">
        <v>7800.53</v>
      </c>
      <c r="N11" s="1086">
        <v>0</v>
      </c>
      <c r="O11" s="1086">
        <v>0</v>
      </c>
      <c r="P11" s="1086">
        <v>0</v>
      </c>
      <c r="Q11" s="1086">
        <v>0</v>
      </c>
      <c r="R11" s="1086">
        <v>0</v>
      </c>
      <c r="S11" s="1086">
        <v>0</v>
      </c>
      <c r="T11" s="1086">
        <v>0</v>
      </c>
      <c r="U11" s="1086">
        <v>0</v>
      </c>
      <c r="V11" s="1086">
        <v>0</v>
      </c>
      <c r="W11" s="1086">
        <v>0</v>
      </c>
      <c r="X11" s="1086">
        <v>0</v>
      </c>
      <c r="Y11" s="1086">
        <v>0</v>
      </c>
      <c r="Z11" s="1086">
        <v>0</v>
      </c>
      <c r="AA11" s="1086">
        <v>0</v>
      </c>
      <c r="AB11" s="1086">
        <v>0</v>
      </c>
      <c r="AC11" s="1086">
        <v>7800.53</v>
      </c>
      <c r="AD11" s="1086" t="s">
        <v>248</v>
      </c>
      <c r="AE11" s="1086" t="s">
        <v>3877</v>
      </c>
      <c r="AF11" s="1086">
        <f t="shared" si="0"/>
        <v>7800.53</v>
      </c>
      <c r="AG11" s="1086">
        <f t="shared" si="2"/>
        <v>0</v>
      </c>
      <c r="AI11" s="325" t="s">
        <v>1255</v>
      </c>
      <c r="AJ11" s="167" t="s">
        <v>1079</v>
      </c>
      <c r="AL11" s="167" t="s">
        <v>1032</v>
      </c>
      <c r="AQ11" s="1086">
        <v>0</v>
      </c>
      <c r="AR11" s="1086">
        <v>0</v>
      </c>
      <c r="AS11" s="1086">
        <v>7800.53</v>
      </c>
      <c r="AT11" s="1086">
        <f t="shared" si="1"/>
        <v>0</v>
      </c>
      <c r="AV11" s="1150">
        <f t="shared" si="3"/>
        <v>0</v>
      </c>
    </row>
    <row r="12" spans="1:48" x14ac:dyDescent="0.2">
      <c r="A12" s="19">
        <v>7</v>
      </c>
      <c r="B12" t="s">
        <v>1312</v>
      </c>
      <c r="C12" t="s">
        <v>1290</v>
      </c>
      <c r="D12" t="s">
        <v>1061</v>
      </c>
      <c r="E12" t="s">
        <v>2082</v>
      </c>
      <c r="F12" t="s">
        <v>2288</v>
      </c>
      <c r="G12" t="s">
        <v>1256</v>
      </c>
      <c r="H12" t="s">
        <v>3827</v>
      </c>
      <c r="I12" t="s">
        <v>3251</v>
      </c>
      <c r="J12" t="s">
        <v>3251</v>
      </c>
      <c r="K12" t="s">
        <v>3251</v>
      </c>
      <c r="L12" t="s">
        <v>2484</v>
      </c>
      <c r="M12" s="1086">
        <v>1001110.78</v>
      </c>
      <c r="N12" s="1086">
        <v>0</v>
      </c>
      <c r="O12" s="1086">
        <v>1230000</v>
      </c>
      <c r="P12" s="1086">
        <v>0</v>
      </c>
      <c r="Q12" s="1086">
        <v>0</v>
      </c>
      <c r="R12" s="1086">
        <v>0</v>
      </c>
      <c r="S12" s="1086">
        <v>0</v>
      </c>
      <c r="T12" s="1086">
        <v>0</v>
      </c>
      <c r="U12" s="1086">
        <v>2158531.21</v>
      </c>
      <c r="V12" s="1086">
        <v>0</v>
      </c>
      <c r="W12" s="1086">
        <v>0</v>
      </c>
      <c r="X12" s="1086">
        <v>0</v>
      </c>
      <c r="Y12" s="1086">
        <v>0</v>
      </c>
      <c r="Z12" s="1086">
        <v>0</v>
      </c>
      <c r="AA12" s="1086">
        <v>0</v>
      </c>
      <c r="AB12" s="1086">
        <v>0</v>
      </c>
      <c r="AC12" s="1086">
        <v>72579.570000000007</v>
      </c>
      <c r="AD12" s="1086" t="s">
        <v>248</v>
      </c>
      <c r="AE12" s="1086" t="s">
        <v>3877</v>
      </c>
      <c r="AF12" s="1086">
        <f t="shared" si="0"/>
        <v>72579.570000000298</v>
      </c>
      <c r="AG12" s="1086">
        <f t="shared" si="2"/>
        <v>-2.9103830456733704E-10</v>
      </c>
      <c r="AI12" s="325" t="s">
        <v>1256</v>
      </c>
      <c r="AJ12" s="167" t="s">
        <v>1080</v>
      </c>
      <c r="AL12" s="167" t="s">
        <v>1033</v>
      </c>
      <c r="AQ12" s="1086">
        <v>0</v>
      </c>
      <c r="AR12" s="1086">
        <v>0</v>
      </c>
      <c r="AS12" s="1086">
        <v>72579.570000000007</v>
      </c>
      <c r="AT12" s="1086">
        <f t="shared" si="1"/>
        <v>0</v>
      </c>
      <c r="AV12" s="1150">
        <f t="shared" si="3"/>
        <v>2158531.21</v>
      </c>
    </row>
    <row r="13" spans="1:48" x14ac:dyDescent="0.2">
      <c r="A13" s="19">
        <v>8</v>
      </c>
      <c r="B13" t="s">
        <v>1313</v>
      </c>
      <c r="C13" t="s">
        <v>1290</v>
      </c>
      <c r="D13" t="s">
        <v>1043</v>
      </c>
      <c r="E13" t="s">
        <v>2083</v>
      </c>
      <c r="F13" t="s">
        <v>2289</v>
      </c>
      <c r="G13" t="s">
        <v>1250</v>
      </c>
      <c r="H13" t="s">
        <v>3825</v>
      </c>
      <c r="I13" t="s">
        <v>3839</v>
      </c>
      <c r="J13" t="s">
        <v>3252</v>
      </c>
      <c r="K13" t="s">
        <v>3253</v>
      </c>
      <c r="L13" t="s">
        <v>2485</v>
      </c>
      <c r="M13" s="1086">
        <v>341383.84</v>
      </c>
      <c r="N13" s="1086">
        <v>122265</v>
      </c>
      <c r="O13" s="1086">
        <v>0</v>
      </c>
      <c r="P13" s="1086">
        <v>81530.53</v>
      </c>
      <c r="Q13" s="1086">
        <v>0</v>
      </c>
      <c r="R13" s="1086">
        <v>7393.69</v>
      </c>
      <c r="S13" s="1086">
        <v>0</v>
      </c>
      <c r="T13" s="1086">
        <v>28263.18</v>
      </c>
      <c r="U13" s="1086">
        <v>295.7</v>
      </c>
      <c r="V13" s="1086">
        <v>0</v>
      </c>
      <c r="W13" s="1086">
        <v>0</v>
      </c>
      <c r="X13" s="1086">
        <v>21827.74</v>
      </c>
      <c r="Y13" s="1086">
        <v>0</v>
      </c>
      <c r="Z13" s="1086">
        <v>0</v>
      </c>
      <c r="AA13" s="1086">
        <v>4279.28</v>
      </c>
      <c r="AB13" s="1086">
        <v>0</v>
      </c>
      <c r="AC13" s="1086">
        <v>320058.71999999997</v>
      </c>
      <c r="AD13" s="1086" t="s">
        <v>248</v>
      </c>
      <c r="AE13" s="1086" t="s">
        <v>3877</v>
      </c>
      <c r="AF13" s="1086">
        <f t="shared" si="0"/>
        <v>320058.72000000003</v>
      </c>
      <c r="AG13" s="1086">
        <f t="shared" si="2"/>
        <v>0</v>
      </c>
      <c r="AI13" s="325" t="s">
        <v>1257</v>
      </c>
      <c r="AL13" s="167" t="s">
        <v>1034</v>
      </c>
      <c r="AQ13" s="1086">
        <v>0</v>
      </c>
      <c r="AR13" s="1086">
        <v>0</v>
      </c>
      <c r="AS13" s="1086">
        <v>320058.71999999997</v>
      </c>
      <c r="AT13" s="1086">
        <f t="shared" si="1"/>
        <v>0</v>
      </c>
      <c r="AV13" s="1150">
        <f t="shared" si="3"/>
        <v>143590.12</v>
      </c>
    </row>
    <row r="14" spans="1:48" x14ac:dyDescent="0.2">
      <c r="A14" s="19">
        <v>9</v>
      </c>
      <c r="B14" t="s">
        <v>1314</v>
      </c>
      <c r="C14" t="s">
        <v>1290</v>
      </c>
      <c r="D14" t="s">
        <v>1027</v>
      </c>
      <c r="E14" t="s">
        <v>2084</v>
      </c>
      <c r="F14" t="s">
        <v>2290</v>
      </c>
      <c r="G14" t="s">
        <v>1254</v>
      </c>
      <c r="H14" t="s">
        <v>3822</v>
      </c>
      <c r="I14" t="s">
        <v>3839</v>
      </c>
      <c r="J14" t="s">
        <v>3246</v>
      </c>
      <c r="K14" t="s">
        <v>3254</v>
      </c>
      <c r="L14" t="s">
        <v>2486</v>
      </c>
      <c r="M14" s="1086">
        <v>132553.82999999999</v>
      </c>
      <c r="N14" s="1086">
        <v>0</v>
      </c>
      <c r="O14" s="1086">
        <v>234079.5</v>
      </c>
      <c r="P14" s="1086">
        <v>54919.93</v>
      </c>
      <c r="Q14" s="1086">
        <v>43500</v>
      </c>
      <c r="R14" s="1086">
        <v>0</v>
      </c>
      <c r="S14" s="1086">
        <v>22427.05</v>
      </c>
      <c r="T14" s="1086">
        <v>41791.410000000003</v>
      </c>
      <c r="U14" s="1086">
        <v>17601.87</v>
      </c>
      <c r="V14" s="1086">
        <v>0</v>
      </c>
      <c r="W14" s="1086">
        <v>0</v>
      </c>
      <c r="X14" s="1086">
        <v>1792.65</v>
      </c>
      <c r="Y14" s="1086">
        <v>0</v>
      </c>
      <c r="Z14" s="1086">
        <v>0</v>
      </c>
      <c r="AA14" s="1086">
        <v>16158.05</v>
      </c>
      <c r="AB14" s="1086">
        <v>0</v>
      </c>
      <c r="AC14" s="1086">
        <v>168442.37</v>
      </c>
      <c r="AD14" s="1086" t="s">
        <v>248</v>
      </c>
      <c r="AE14" s="1086" t="s">
        <v>3877</v>
      </c>
      <c r="AF14" s="1086">
        <f t="shared" si="0"/>
        <v>168442.36999999997</v>
      </c>
      <c r="AG14" s="1086">
        <f t="shared" si="2"/>
        <v>0</v>
      </c>
      <c r="AI14" s="325" t="s">
        <v>1258</v>
      </c>
      <c r="AL14" s="167" t="s">
        <v>1035</v>
      </c>
      <c r="AQ14" s="1086">
        <v>0</v>
      </c>
      <c r="AR14" s="1086">
        <v>0</v>
      </c>
      <c r="AS14" s="1086">
        <v>168442.37</v>
      </c>
      <c r="AT14" s="1086">
        <f t="shared" si="1"/>
        <v>0</v>
      </c>
      <c r="AV14" s="1150">
        <f t="shared" si="3"/>
        <v>198190.96</v>
      </c>
    </row>
    <row r="15" spans="1:48" x14ac:dyDescent="0.2">
      <c r="A15" s="19">
        <v>10</v>
      </c>
      <c r="B15" t="s">
        <v>1315</v>
      </c>
      <c r="C15" t="s">
        <v>1290</v>
      </c>
      <c r="D15" t="s">
        <v>1041</v>
      </c>
      <c r="E15" t="s">
        <v>2085</v>
      </c>
      <c r="F15" t="s">
        <v>2291</v>
      </c>
      <c r="G15" t="s">
        <v>1250</v>
      </c>
      <c r="H15" t="s">
        <v>3823</v>
      </c>
      <c r="I15" t="s">
        <v>3839</v>
      </c>
      <c r="J15" t="s">
        <v>3255</v>
      </c>
      <c r="K15" t="s">
        <v>3256</v>
      </c>
      <c r="L15" t="s">
        <v>2487</v>
      </c>
      <c r="M15" s="1086">
        <v>448582.84</v>
      </c>
      <c r="N15" s="1086">
        <v>97516.1</v>
      </c>
      <c r="O15" s="1086">
        <v>73244.56</v>
      </c>
      <c r="P15" s="1086">
        <v>6458.31</v>
      </c>
      <c r="Q15" s="1086">
        <v>0</v>
      </c>
      <c r="R15" s="1086">
        <v>0</v>
      </c>
      <c r="S15" s="1086">
        <v>0</v>
      </c>
      <c r="T15" s="1086">
        <v>1822.74</v>
      </c>
      <c r="U15" s="1086">
        <v>11282.7</v>
      </c>
      <c r="V15" s="1086">
        <v>0</v>
      </c>
      <c r="W15" s="1086">
        <v>0</v>
      </c>
      <c r="X15" s="1086">
        <v>1092.57</v>
      </c>
      <c r="Y15" s="1086">
        <v>0</v>
      </c>
      <c r="Z15" s="1086">
        <v>0</v>
      </c>
      <c r="AA15" s="1086">
        <v>19380.82</v>
      </c>
      <c r="AB15" s="1086">
        <v>0</v>
      </c>
      <c r="AC15" s="1086">
        <v>579306.36</v>
      </c>
      <c r="AD15" s="1086" t="s">
        <v>248</v>
      </c>
      <c r="AE15" s="1086" t="s">
        <v>3877</v>
      </c>
      <c r="AF15" s="1086">
        <f t="shared" si="0"/>
        <v>579306.36</v>
      </c>
      <c r="AG15" s="1086">
        <f t="shared" si="2"/>
        <v>0</v>
      </c>
      <c r="AI15" s="325" t="s">
        <v>1260</v>
      </c>
      <c r="AL15" s="167" t="s">
        <v>1036</v>
      </c>
      <c r="AQ15" s="1086">
        <v>0</v>
      </c>
      <c r="AR15" s="1086">
        <v>0</v>
      </c>
      <c r="AS15" s="1086">
        <v>579306.36</v>
      </c>
      <c r="AT15" s="1086">
        <f t="shared" si="1"/>
        <v>0</v>
      </c>
      <c r="AV15" s="1150">
        <f t="shared" si="3"/>
        <v>40037.14</v>
      </c>
    </row>
    <row r="16" spans="1:48" x14ac:dyDescent="0.2">
      <c r="A16" s="19">
        <v>11</v>
      </c>
      <c r="B16" t="s">
        <v>1316</v>
      </c>
      <c r="C16" t="s">
        <v>1290</v>
      </c>
      <c r="D16" t="s">
        <v>1059</v>
      </c>
      <c r="E16" t="s">
        <v>2086</v>
      </c>
      <c r="F16" t="s">
        <v>2292</v>
      </c>
      <c r="G16" t="s">
        <v>1250</v>
      </c>
      <c r="H16" t="s">
        <v>3825</v>
      </c>
      <c r="I16" t="s">
        <v>3839</v>
      </c>
      <c r="J16" t="s">
        <v>3257</v>
      </c>
      <c r="K16" t="s">
        <v>3258</v>
      </c>
      <c r="L16" t="s">
        <v>2488</v>
      </c>
      <c r="M16" s="1086">
        <v>69022.25</v>
      </c>
      <c r="N16" s="1086">
        <v>87025</v>
      </c>
      <c r="O16" s="1086">
        <v>119700</v>
      </c>
      <c r="P16" s="1086">
        <v>21788.66</v>
      </c>
      <c r="Q16" s="1086">
        <v>0</v>
      </c>
      <c r="R16" s="1086">
        <v>0</v>
      </c>
      <c r="S16" s="1086">
        <v>6395</v>
      </c>
      <c r="T16" s="1086">
        <v>420.54</v>
      </c>
      <c r="U16" s="1086">
        <v>36194.53</v>
      </c>
      <c r="V16" s="1086">
        <v>0</v>
      </c>
      <c r="W16" s="1086">
        <v>10854.95</v>
      </c>
      <c r="X16" s="1086">
        <v>77049.64</v>
      </c>
      <c r="Y16" s="1086">
        <v>0</v>
      </c>
      <c r="Z16" s="1086">
        <v>0</v>
      </c>
      <c r="AA16" s="1086">
        <v>3675.95</v>
      </c>
      <c r="AB16" s="1086">
        <v>0</v>
      </c>
      <c r="AC16" s="1086">
        <v>119367.98</v>
      </c>
      <c r="AD16" s="1086" t="s">
        <v>248</v>
      </c>
      <c r="AE16" s="1086" t="s">
        <v>3877</v>
      </c>
      <c r="AF16" s="1086">
        <f t="shared" si="0"/>
        <v>119367.97999999998</v>
      </c>
      <c r="AG16" s="1086">
        <f t="shared" si="2"/>
        <v>0</v>
      </c>
      <c r="AI16" s="325" t="s">
        <v>1259</v>
      </c>
      <c r="AL16" s="167" t="s">
        <v>1037</v>
      </c>
      <c r="AQ16" s="1086">
        <v>0</v>
      </c>
      <c r="AR16" s="1086">
        <v>0</v>
      </c>
      <c r="AS16" s="1086">
        <v>119367.98</v>
      </c>
      <c r="AT16" s="1086">
        <f t="shared" si="1"/>
        <v>0</v>
      </c>
      <c r="AV16" s="1150">
        <f t="shared" si="3"/>
        <v>156379.27000000002</v>
      </c>
    </row>
    <row r="17" spans="1:48" x14ac:dyDescent="0.2">
      <c r="A17" s="19">
        <v>12</v>
      </c>
      <c r="B17" t="s">
        <v>1317</v>
      </c>
      <c r="C17" t="s">
        <v>1290</v>
      </c>
      <c r="D17" t="s">
        <v>1059</v>
      </c>
      <c r="E17" t="s">
        <v>2086</v>
      </c>
      <c r="F17" t="s">
        <v>2292</v>
      </c>
      <c r="G17" t="s">
        <v>1250</v>
      </c>
      <c r="H17" t="s">
        <v>3825</v>
      </c>
      <c r="I17" t="s">
        <v>3839</v>
      </c>
      <c r="J17" t="s">
        <v>3257</v>
      </c>
      <c r="K17" t="s">
        <v>3259</v>
      </c>
      <c r="L17" t="s">
        <v>2489</v>
      </c>
      <c r="M17" s="1086">
        <v>172504.84</v>
      </c>
      <c r="N17" s="1086">
        <v>30235.7</v>
      </c>
      <c r="O17" s="1086">
        <v>125714</v>
      </c>
      <c r="P17" s="1086">
        <v>18064.73</v>
      </c>
      <c r="Q17" s="1086">
        <v>256.39999999999998</v>
      </c>
      <c r="R17" s="1086">
        <v>0</v>
      </c>
      <c r="S17" s="1086">
        <v>6536</v>
      </c>
      <c r="T17" s="1086">
        <v>1358.88</v>
      </c>
      <c r="U17" s="1086">
        <v>37757.15</v>
      </c>
      <c r="V17" s="1086">
        <v>0</v>
      </c>
      <c r="W17" s="1086">
        <v>3346.81</v>
      </c>
      <c r="X17" s="1086">
        <v>15593.34</v>
      </c>
      <c r="Y17" s="1086">
        <v>-4000</v>
      </c>
      <c r="Z17" s="1086">
        <v>0</v>
      </c>
      <c r="AA17" s="1086">
        <v>12657.24</v>
      </c>
      <c r="AB17" s="1086">
        <v>0</v>
      </c>
      <c r="AC17" s="1086">
        <v>236883.99</v>
      </c>
      <c r="AD17" s="1086" t="s">
        <v>248</v>
      </c>
      <c r="AE17" s="1086" t="s">
        <v>3877</v>
      </c>
      <c r="AF17" s="1086">
        <f t="shared" si="0"/>
        <v>236883.99000000005</v>
      </c>
      <c r="AG17" s="1086">
        <f t="shared" si="2"/>
        <v>0</v>
      </c>
      <c r="AL17" s="167" t="s">
        <v>1038</v>
      </c>
      <c r="AQ17" s="1086">
        <v>0</v>
      </c>
      <c r="AR17" s="1086">
        <v>0</v>
      </c>
      <c r="AS17" s="1086">
        <v>236883.99</v>
      </c>
      <c r="AT17" s="1086">
        <f t="shared" si="1"/>
        <v>0</v>
      </c>
      <c r="AV17" s="1150">
        <f t="shared" si="3"/>
        <v>91570.55</v>
      </c>
    </row>
    <row r="18" spans="1:48" x14ac:dyDescent="0.2">
      <c r="A18" s="19">
        <v>13</v>
      </c>
      <c r="B18" t="s">
        <v>1318</v>
      </c>
      <c r="C18" t="s">
        <v>1290</v>
      </c>
      <c r="D18" t="s">
        <v>1047</v>
      </c>
      <c r="E18" t="s">
        <v>2087</v>
      </c>
      <c r="F18" t="s">
        <v>2479</v>
      </c>
      <c r="G18" t="s">
        <v>608</v>
      </c>
      <c r="H18" t="s">
        <v>3826</v>
      </c>
      <c r="I18" t="s">
        <v>3840</v>
      </c>
      <c r="J18" t="s">
        <v>3260</v>
      </c>
      <c r="K18" t="s">
        <v>3261</v>
      </c>
      <c r="L18" t="s">
        <v>2490</v>
      </c>
      <c r="M18" s="1086">
        <v>-259071.67</v>
      </c>
      <c r="N18" s="1086">
        <v>14.05</v>
      </c>
      <c r="O18" s="1086">
        <v>0</v>
      </c>
      <c r="P18" s="1086">
        <v>52162.06</v>
      </c>
      <c r="Q18" s="1086">
        <v>0</v>
      </c>
      <c r="R18" s="1086">
        <v>0</v>
      </c>
      <c r="S18" s="1086">
        <v>20490.5</v>
      </c>
      <c r="T18" s="1086">
        <v>16943.23</v>
      </c>
      <c r="U18" s="1086">
        <v>35461.42</v>
      </c>
      <c r="V18" s="1086">
        <v>0</v>
      </c>
      <c r="W18" s="1086">
        <v>7121.85</v>
      </c>
      <c r="X18" s="1086">
        <v>1023.76</v>
      </c>
      <c r="Y18" s="1086">
        <v>0</v>
      </c>
      <c r="Z18" s="1086">
        <v>0</v>
      </c>
      <c r="AA18" s="1086">
        <v>0</v>
      </c>
      <c r="AB18" s="1086">
        <v>0</v>
      </c>
      <c r="AC18" s="1086">
        <v>-392260.44</v>
      </c>
      <c r="AD18" s="1103" t="s">
        <v>608</v>
      </c>
      <c r="AE18" s="1086" t="s">
        <v>3878</v>
      </c>
      <c r="AF18" s="1086">
        <f t="shared" si="0"/>
        <v>-392260.44000000006</v>
      </c>
      <c r="AG18" s="1086">
        <f t="shared" si="2"/>
        <v>0</v>
      </c>
      <c r="AL18" s="167" t="s">
        <v>1039</v>
      </c>
      <c r="AQ18" s="1086">
        <v>0</v>
      </c>
      <c r="AR18" s="1086">
        <v>0</v>
      </c>
      <c r="AS18" s="1086">
        <v>-392260.44</v>
      </c>
      <c r="AT18" s="1086">
        <f t="shared" si="1"/>
        <v>0</v>
      </c>
      <c r="AV18" s="1150">
        <f t="shared" si="3"/>
        <v>133202.82</v>
      </c>
    </row>
    <row r="19" spans="1:48" x14ac:dyDescent="0.2">
      <c r="A19" s="19">
        <v>14</v>
      </c>
      <c r="B19" t="s">
        <v>1319</v>
      </c>
      <c r="C19" t="s">
        <v>1290</v>
      </c>
      <c r="D19" t="s">
        <v>1047</v>
      </c>
      <c r="E19" t="s">
        <v>2087</v>
      </c>
      <c r="F19" t="s">
        <v>2479</v>
      </c>
      <c r="G19" t="s">
        <v>608</v>
      </c>
      <c r="H19" t="s">
        <v>3826</v>
      </c>
      <c r="I19" t="s">
        <v>3840</v>
      </c>
      <c r="J19" t="s">
        <v>3260</v>
      </c>
      <c r="K19" t="s">
        <v>3262</v>
      </c>
      <c r="L19" t="s">
        <v>2491</v>
      </c>
      <c r="M19" s="1086">
        <v>4046117.47</v>
      </c>
      <c r="N19" s="1086">
        <v>4634529.5999999996</v>
      </c>
      <c r="O19" s="1086">
        <v>0</v>
      </c>
      <c r="P19" s="1086">
        <v>339898.39</v>
      </c>
      <c r="Q19" s="1086">
        <v>0</v>
      </c>
      <c r="R19" s="1086">
        <v>0</v>
      </c>
      <c r="S19" s="1086">
        <v>18852.89</v>
      </c>
      <c r="T19" s="1086">
        <v>103704.4</v>
      </c>
      <c r="U19" s="1086">
        <v>265602.02</v>
      </c>
      <c r="V19" s="1086">
        <v>0</v>
      </c>
      <c r="W19" s="1086">
        <v>5816.44</v>
      </c>
      <c r="X19" s="1086">
        <v>3787.8</v>
      </c>
      <c r="Y19" s="1086">
        <v>0</v>
      </c>
      <c r="Z19" s="1086">
        <v>0</v>
      </c>
      <c r="AA19" s="1086">
        <v>0</v>
      </c>
      <c r="AB19" s="1086">
        <v>0</v>
      </c>
      <c r="AC19" s="1086">
        <v>7942985.1299999999</v>
      </c>
      <c r="AD19" s="1103" t="s">
        <v>608</v>
      </c>
      <c r="AE19" s="1086" t="s">
        <v>3878</v>
      </c>
      <c r="AF19" s="1086">
        <f t="shared" si="0"/>
        <v>7942985.1299999999</v>
      </c>
      <c r="AG19" s="1086">
        <f t="shared" si="2"/>
        <v>0</v>
      </c>
      <c r="AL19" s="167" t="s">
        <v>1040</v>
      </c>
      <c r="AQ19" s="1086">
        <v>0</v>
      </c>
      <c r="AR19" s="1086">
        <v>0</v>
      </c>
      <c r="AS19" s="1086">
        <v>7942985.1299999999</v>
      </c>
      <c r="AT19" s="1086">
        <f t="shared" si="1"/>
        <v>0</v>
      </c>
      <c r="AV19" s="1150">
        <f t="shared" si="3"/>
        <v>737661.94000000006</v>
      </c>
    </row>
    <row r="20" spans="1:48" x14ac:dyDescent="0.2">
      <c r="A20" s="19">
        <v>15</v>
      </c>
      <c r="B20" t="s">
        <v>1320</v>
      </c>
      <c r="C20" t="s">
        <v>1290</v>
      </c>
      <c r="D20" t="s">
        <v>1036</v>
      </c>
      <c r="E20" t="s">
        <v>2088</v>
      </c>
      <c r="F20" t="s">
        <v>2293</v>
      </c>
      <c r="G20" t="s">
        <v>1250</v>
      </c>
      <c r="H20" t="s">
        <v>3825</v>
      </c>
      <c r="I20" t="s">
        <v>3839</v>
      </c>
      <c r="J20" t="s">
        <v>3263</v>
      </c>
      <c r="K20" t="s">
        <v>3264</v>
      </c>
      <c r="L20" t="s">
        <v>2492</v>
      </c>
      <c r="M20" s="1086">
        <v>71864.36</v>
      </c>
      <c r="N20" s="1086">
        <v>0</v>
      </c>
      <c r="O20" s="1086">
        <v>177339.22</v>
      </c>
      <c r="P20" s="1086">
        <v>0</v>
      </c>
      <c r="Q20" s="1086">
        <v>0</v>
      </c>
      <c r="R20" s="1086">
        <v>0</v>
      </c>
      <c r="S20" s="1086">
        <v>0</v>
      </c>
      <c r="T20" s="1086">
        <v>0</v>
      </c>
      <c r="U20" s="1086">
        <v>68106.8</v>
      </c>
      <c r="V20" s="1086">
        <v>1534.96</v>
      </c>
      <c r="W20" s="1086">
        <v>374.5</v>
      </c>
      <c r="X20" s="1086">
        <v>87681.16</v>
      </c>
      <c r="Y20" s="1086">
        <v>0</v>
      </c>
      <c r="Z20" s="1086">
        <v>0</v>
      </c>
      <c r="AA20" s="1086">
        <v>0</v>
      </c>
      <c r="AB20" s="1086">
        <v>0</v>
      </c>
      <c r="AC20" s="1086">
        <v>91506.16</v>
      </c>
      <c r="AD20" s="1086" t="s">
        <v>248</v>
      </c>
      <c r="AE20" s="1086" t="s">
        <v>3877</v>
      </c>
      <c r="AF20" s="1086">
        <f t="shared" si="0"/>
        <v>91506.16</v>
      </c>
      <c r="AG20" s="1086">
        <f t="shared" si="2"/>
        <v>0</v>
      </c>
      <c r="AL20" s="167" t="s">
        <v>1041</v>
      </c>
      <c r="AQ20" s="1086">
        <v>0</v>
      </c>
      <c r="AR20" s="1086">
        <v>0</v>
      </c>
      <c r="AS20" s="1086">
        <v>91506.159999999989</v>
      </c>
      <c r="AT20" s="1086">
        <f t="shared" si="1"/>
        <v>0</v>
      </c>
      <c r="AV20" s="1150">
        <f t="shared" si="3"/>
        <v>157697.42000000001</v>
      </c>
    </row>
    <row r="21" spans="1:48" x14ac:dyDescent="0.2">
      <c r="A21" s="19">
        <v>16</v>
      </c>
      <c r="B21" t="s">
        <v>1321</v>
      </c>
      <c r="C21" t="s">
        <v>1290</v>
      </c>
      <c r="D21" t="s">
        <v>1047</v>
      </c>
      <c r="E21" t="s">
        <v>2089</v>
      </c>
      <c r="F21" t="s">
        <v>2479</v>
      </c>
      <c r="G21" t="s">
        <v>608</v>
      </c>
      <c r="H21" t="s">
        <v>3826</v>
      </c>
      <c r="I21" t="s">
        <v>3840</v>
      </c>
      <c r="J21" t="s">
        <v>3260</v>
      </c>
      <c r="K21" t="s">
        <v>3265</v>
      </c>
      <c r="L21" t="s">
        <v>2493</v>
      </c>
      <c r="M21" s="1086">
        <v>-952454.85</v>
      </c>
      <c r="N21" s="1086">
        <v>25288</v>
      </c>
      <c r="O21" s="1086">
        <v>0</v>
      </c>
      <c r="P21" s="1086">
        <v>461453.42</v>
      </c>
      <c r="Q21" s="1086">
        <v>0</v>
      </c>
      <c r="R21" s="1086">
        <v>0</v>
      </c>
      <c r="S21" s="1086">
        <v>11728.83</v>
      </c>
      <c r="T21" s="1086">
        <v>124925.06</v>
      </c>
      <c r="U21" s="1086">
        <v>221270.55</v>
      </c>
      <c r="V21" s="1086">
        <v>0</v>
      </c>
      <c r="W21" s="1086">
        <v>15488.47</v>
      </c>
      <c r="X21" s="1086">
        <v>202045</v>
      </c>
      <c r="Y21" s="1086">
        <v>0</v>
      </c>
      <c r="Z21" s="1086">
        <v>0</v>
      </c>
      <c r="AA21" s="1086">
        <v>0</v>
      </c>
      <c r="AB21" s="1086">
        <v>0</v>
      </c>
      <c r="AC21" s="1086">
        <v>-1964078.18</v>
      </c>
      <c r="AD21" s="1103" t="s">
        <v>608</v>
      </c>
      <c r="AE21" s="1086" t="s">
        <v>3878</v>
      </c>
      <c r="AF21" s="1086">
        <f t="shared" si="0"/>
        <v>-1964078.1800000002</v>
      </c>
      <c r="AG21" s="1086">
        <f t="shared" si="2"/>
        <v>0</v>
      </c>
      <c r="AL21" s="167" t="s">
        <v>1042</v>
      </c>
      <c r="AQ21" s="1086">
        <v>0</v>
      </c>
      <c r="AR21" s="1086">
        <v>0</v>
      </c>
      <c r="AS21" s="1086">
        <v>-1964078.18</v>
      </c>
      <c r="AT21" s="1086">
        <f t="shared" si="1"/>
        <v>0</v>
      </c>
      <c r="AV21" s="1150">
        <f t="shared" si="3"/>
        <v>1036911.3300000001</v>
      </c>
    </row>
    <row r="22" spans="1:48" x14ac:dyDescent="0.2">
      <c r="A22" s="19">
        <v>17</v>
      </c>
      <c r="B22" t="s">
        <v>1322</v>
      </c>
      <c r="C22" t="s">
        <v>1290</v>
      </c>
      <c r="D22" t="s">
        <v>1039</v>
      </c>
      <c r="E22" t="s">
        <v>2090</v>
      </c>
      <c r="F22" t="s">
        <v>2294</v>
      </c>
      <c r="G22" t="s">
        <v>1250</v>
      </c>
      <c r="H22" t="s">
        <v>3825</v>
      </c>
      <c r="I22" t="s">
        <v>3839</v>
      </c>
      <c r="J22" t="s">
        <v>3266</v>
      </c>
      <c r="K22" t="s">
        <v>3267</v>
      </c>
      <c r="L22" t="s">
        <v>2494</v>
      </c>
      <c r="M22" s="1086">
        <v>45389.39</v>
      </c>
      <c r="N22" s="1086">
        <v>13617.75</v>
      </c>
      <c r="O22" s="1086">
        <v>800</v>
      </c>
      <c r="P22" s="1086">
        <v>21313.64</v>
      </c>
      <c r="Q22" s="1086">
        <v>0</v>
      </c>
      <c r="R22" s="1086">
        <v>0</v>
      </c>
      <c r="S22" s="1086">
        <v>15199</v>
      </c>
      <c r="T22" s="1086">
        <v>8856.4699999999993</v>
      </c>
      <c r="U22" s="1086">
        <v>7052.07</v>
      </c>
      <c r="V22" s="1086">
        <v>0</v>
      </c>
      <c r="W22" s="1086">
        <v>293.87</v>
      </c>
      <c r="X22" s="1086">
        <v>70.3</v>
      </c>
      <c r="Y22" s="1086">
        <v>-16932.5</v>
      </c>
      <c r="Z22" s="1086">
        <v>0</v>
      </c>
      <c r="AA22" s="1086">
        <v>294.67</v>
      </c>
      <c r="AB22" s="1086">
        <v>0</v>
      </c>
      <c r="AC22" s="1086">
        <v>23659.62</v>
      </c>
      <c r="AD22" s="1086" t="s">
        <v>248</v>
      </c>
      <c r="AE22" s="1086" t="s">
        <v>3877</v>
      </c>
      <c r="AF22" s="1086">
        <f t="shared" si="0"/>
        <v>23659.619999999995</v>
      </c>
      <c r="AG22" s="1086">
        <f t="shared" si="2"/>
        <v>0</v>
      </c>
      <c r="AL22" s="167" t="s">
        <v>1043</v>
      </c>
      <c r="AQ22" s="1086">
        <v>0</v>
      </c>
      <c r="AR22" s="1086">
        <v>0</v>
      </c>
      <c r="AS22" s="1086">
        <v>23659.62</v>
      </c>
      <c r="AT22" s="1086">
        <f t="shared" si="1"/>
        <v>0</v>
      </c>
      <c r="AV22" s="1150">
        <f t="shared" si="3"/>
        <v>36147.520000000004</v>
      </c>
    </row>
    <row r="23" spans="1:48" x14ac:dyDescent="0.2">
      <c r="A23" s="19">
        <v>18</v>
      </c>
      <c r="B23" t="s">
        <v>1323</v>
      </c>
      <c r="C23" t="s">
        <v>1290</v>
      </c>
      <c r="D23" t="s">
        <v>1047</v>
      </c>
      <c r="E23" t="s">
        <v>2091</v>
      </c>
      <c r="F23" t="s">
        <v>2479</v>
      </c>
      <c r="G23" t="s">
        <v>608</v>
      </c>
      <c r="H23" t="s">
        <v>3826</v>
      </c>
      <c r="I23" t="s">
        <v>3840</v>
      </c>
      <c r="J23" t="s">
        <v>3260</v>
      </c>
      <c r="K23" t="s">
        <v>3268</v>
      </c>
      <c r="L23" t="s">
        <v>2495</v>
      </c>
      <c r="M23" s="1086">
        <v>-2255679.2200000002</v>
      </c>
      <c r="N23" s="1086">
        <v>2942220.45</v>
      </c>
      <c r="O23" s="1086">
        <v>0</v>
      </c>
      <c r="P23" s="1086">
        <v>2635241.09</v>
      </c>
      <c r="Q23" s="1086">
        <v>62000</v>
      </c>
      <c r="R23" s="1086">
        <v>0</v>
      </c>
      <c r="S23" s="1086">
        <v>18562.5</v>
      </c>
      <c r="T23" s="1086">
        <v>565816.76</v>
      </c>
      <c r="U23" s="1086">
        <v>1390753.4</v>
      </c>
      <c r="V23" s="1086">
        <v>0</v>
      </c>
      <c r="W23" s="1086">
        <v>29019.06</v>
      </c>
      <c r="X23" s="1086">
        <v>1041098.86</v>
      </c>
      <c r="Y23" s="1086">
        <v>0</v>
      </c>
      <c r="Z23" s="1086">
        <v>0</v>
      </c>
      <c r="AA23" s="1086">
        <v>0</v>
      </c>
      <c r="AB23" s="1086">
        <v>0</v>
      </c>
      <c r="AC23" s="1086">
        <v>-5055950.4400000004</v>
      </c>
      <c r="AD23" s="1103" t="s">
        <v>608</v>
      </c>
      <c r="AE23" s="1086" t="s">
        <v>3878</v>
      </c>
      <c r="AF23" s="1086">
        <f t="shared" si="0"/>
        <v>-5055950.4399999995</v>
      </c>
      <c r="AG23" s="1086">
        <f>AC23-AF23</f>
        <v>0</v>
      </c>
      <c r="AL23" s="167" t="s">
        <v>1044</v>
      </c>
      <c r="AQ23" s="1086">
        <v>0</v>
      </c>
      <c r="AR23" s="1086">
        <v>0</v>
      </c>
      <c r="AS23" s="1086">
        <v>-5055950.4400000004</v>
      </c>
      <c r="AT23" s="1086">
        <f t="shared" si="1"/>
        <v>0</v>
      </c>
      <c r="AV23" s="1150">
        <f t="shared" si="3"/>
        <v>5742491.6699999999</v>
      </c>
    </row>
    <row r="24" spans="1:48" x14ac:dyDescent="0.2">
      <c r="A24" s="19">
        <v>19</v>
      </c>
      <c r="B24" t="s">
        <v>1324</v>
      </c>
      <c r="C24" t="s">
        <v>1290</v>
      </c>
      <c r="D24" t="s">
        <v>1047</v>
      </c>
      <c r="E24" t="s">
        <v>2092</v>
      </c>
      <c r="F24" t="s">
        <v>2479</v>
      </c>
      <c r="G24" t="s">
        <v>608</v>
      </c>
      <c r="H24" t="s">
        <v>3826</v>
      </c>
      <c r="I24" t="s">
        <v>3840</v>
      </c>
      <c r="J24" t="s">
        <v>3260</v>
      </c>
      <c r="K24" t="s">
        <v>3269</v>
      </c>
      <c r="L24" t="s">
        <v>2496</v>
      </c>
      <c r="M24" s="1086">
        <v>4194943.58</v>
      </c>
      <c r="N24" s="1086">
        <v>4614226.99</v>
      </c>
      <c r="O24" s="1086">
        <v>0</v>
      </c>
      <c r="P24" s="1086">
        <v>3750.01</v>
      </c>
      <c r="Q24" s="1086">
        <v>0</v>
      </c>
      <c r="R24" s="1086">
        <v>0</v>
      </c>
      <c r="S24" s="1086">
        <v>0</v>
      </c>
      <c r="T24" s="1086">
        <v>1492.08</v>
      </c>
      <c r="U24" s="1086">
        <v>12232.58</v>
      </c>
      <c r="V24" s="1086">
        <v>0</v>
      </c>
      <c r="W24" s="1086">
        <v>0</v>
      </c>
      <c r="X24" s="1086">
        <v>7660.79</v>
      </c>
      <c r="Y24" s="1086">
        <v>0</v>
      </c>
      <c r="Z24" s="1086">
        <v>104919.77</v>
      </c>
      <c r="AA24" s="1086">
        <v>15882.34</v>
      </c>
      <c r="AB24" s="1086">
        <v>0</v>
      </c>
      <c r="AC24" s="1086">
        <v>8663233</v>
      </c>
      <c r="AD24" s="1103" t="s">
        <v>608</v>
      </c>
      <c r="AE24" s="1086" t="s">
        <v>3878</v>
      </c>
      <c r="AF24" s="1086">
        <f t="shared" si="0"/>
        <v>8663233</v>
      </c>
      <c r="AG24" s="1086">
        <f t="shared" si="2"/>
        <v>0</v>
      </c>
      <c r="AL24" s="167" t="s">
        <v>1045</v>
      </c>
      <c r="AQ24" s="1086">
        <v>0</v>
      </c>
      <c r="AR24" s="1086">
        <v>0</v>
      </c>
      <c r="AS24" s="1086">
        <v>8666229</v>
      </c>
      <c r="AT24" s="1086">
        <f t="shared" si="1"/>
        <v>-2996</v>
      </c>
      <c r="AU24" s="167" t="s">
        <v>3912</v>
      </c>
      <c r="AV24" s="1150">
        <f t="shared" si="3"/>
        <v>145937.57</v>
      </c>
    </row>
    <row r="25" spans="1:48" x14ac:dyDescent="0.2">
      <c r="A25" s="19">
        <v>20</v>
      </c>
      <c r="B25" t="s">
        <v>1325</v>
      </c>
      <c r="C25" t="s">
        <v>1290</v>
      </c>
      <c r="D25" t="s">
        <v>1049</v>
      </c>
      <c r="E25" t="s">
        <v>2093</v>
      </c>
      <c r="F25" t="s">
        <v>2295</v>
      </c>
      <c r="G25" t="s">
        <v>1250</v>
      </c>
      <c r="H25" t="s">
        <v>3825</v>
      </c>
      <c r="I25" t="s">
        <v>3839</v>
      </c>
      <c r="J25" t="s">
        <v>3270</v>
      </c>
      <c r="K25" t="s">
        <v>3271</v>
      </c>
      <c r="L25" t="s">
        <v>2497</v>
      </c>
      <c r="M25" s="1086">
        <v>131917.5</v>
      </c>
      <c r="N25" s="1086">
        <v>-60</v>
      </c>
      <c r="O25" s="1086">
        <v>74700</v>
      </c>
      <c r="P25" s="1086">
        <v>30600</v>
      </c>
      <c r="Q25" s="1086">
        <v>0</v>
      </c>
      <c r="R25" s="1086">
        <v>0</v>
      </c>
      <c r="S25" s="1086">
        <v>4911</v>
      </c>
      <c r="T25" s="1086">
        <v>3575.45</v>
      </c>
      <c r="U25" s="1086">
        <v>13891.89</v>
      </c>
      <c r="V25" s="1086">
        <v>0</v>
      </c>
      <c r="W25" s="1086">
        <v>0</v>
      </c>
      <c r="X25" s="1086">
        <v>77950.460000000006</v>
      </c>
      <c r="Y25" s="1086">
        <v>0</v>
      </c>
      <c r="Z25" s="1086">
        <v>0</v>
      </c>
      <c r="AA25" s="1086">
        <v>1562.2</v>
      </c>
      <c r="AB25" s="1086">
        <v>0</v>
      </c>
      <c r="AC25" s="1086">
        <v>74066.5</v>
      </c>
      <c r="AD25" s="1086" t="s">
        <v>248</v>
      </c>
      <c r="AE25" s="1086" t="s">
        <v>3877</v>
      </c>
      <c r="AF25" s="1086">
        <f t="shared" si="0"/>
        <v>74066.5</v>
      </c>
      <c r="AG25" s="1086">
        <f t="shared" si="2"/>
        <v>0</v>
      </c>
      <c r="AL25" s="167" t="s">
        <v>1046</v>
      </c>
      <c r="AQ25" s="1086">
        <v>0</v>
      </c>
      <c r="AR25" s="1086">
        <v>0</v>
      </c>
      <c r="AS25" s="1086">
        <v>74066.5</v>
      </c>
      <c r="AT25" s="1086">
        <f t="shared" si="1"/>
        <v>0</v>
      </c>
      <c r="AV25" s="1150">
        <f t="shared" si="3"/>
        <v>132491</v>
      </c>
    </row>
    <row r="26" spans="1:48" x14ac:dyDescent="0.2">
      <c r="A26" s="19">
        <v>21</v>
      </c>
      <c r="B26" t="s">
        <v>1326</v>
      </c>
      <c r="C26" t="s">
        <v>1290</v>
      </c>
      <c r="D26" t="s">
        <v>1049</v>
      </c>
      <c r="E26" t="s">
        <v>2093</v>
      </c>
      <c r="F26" t="s">
        <v>2295</v>
      </c>
      <c r="G26" t="s">
        <v>1250</v>
      </c>
      <c r="H26" t="s">
        <v>3825</v>
      </c>
      <c r="I26">
        <v>2221</v>
      </c>
      <c r="J26" t="s">
        <v>3270</v>
      </c>
      <c r="K26">
        <v>5982</v>
      </c>
      <c r="L26" t="s">
        <v>2498</v>
      </c>
      <c r="M26" s="1086">
        <v>85641.19</v>
      </c>
      <c r="N26" s="1086">
        <v>3975</v>
      </c>
      <c r="O26" s="1086">
        <v>38300</v>
      </c>
      <c r="P26" s="1086">
        <v>1230</v>
      </c>
      <c r="Q26" s="1086">
        <v>80</v>
      </c>
      <c r="R26" s="1086">
        <v>0</v>
      </c>
      <c r="S26" s="1086">
        <v>209.75</v>
      </c>
      <c r="T26" s="1086">
        <v>357.29</v>
      </c>
      <c r="U26" s="1086">
        <v>36597.25</v>
      </c>
      <c r="V26" s="1086">
        <v>0</v>
      </c>
      <c r="W26" s="1086">
        <v>7005.82</v>
      </c>
      <c r="X26" s="1086">
        <v>42.23</v>
      </c>
      <c r="Y26" s="1086">
        <v>0</v>
      </c>
      <c r="Z26" s="1086">
        <v>0</v>
      </c>
      <c r="AA26" s="1086">
        <v>3739.13</v>
      </c>
      <c r="AB26" s="1086">
        <v>0</v>
      </c>
      <c r="AC26" s="1086">
        <v>78654.720000000001</v>
      </c>
      <c r="AD26" s="1086" t="s">
        <v>248</v>
      </c>
      <c r="AE26" s="1086" t="s">
        <v>3877</v>
      </c>
      <c r="AF26" s="1086">
        <f t="shared" si="0"/>
        <v>78654.720000000001</v>
      </c>
      <c r="AG26" s="1086">
        <f t="shared" si="2"/>
        <v>0</v>
      </c>
      <c r="AL26" s="167" t="s">
        <v>1047</v>
      </c>
      <c r="AQ26" s="1086">
        <v>0</v>
      </c>
      <c r="AR26" s="1086">
        <v>0</v>
      </c>
      <c r="AS26" s="1086">
        <v>78654.720000000001</v>
      </c>
      <c r="AT26" s="1086">
        <f t="shared" si="1"/>
        <v>0</v>
      </c>
      <c r="AV26" s="1150">
        <f t="shared" si="3"/>
        <v>49261.47</v>
      </c>
    </row>
    <row r="27" spans="1:48" x14ac:dyDescent="0.2">
      <c r="A27" s="19">
        <v>22</v>
      </c>
      <c r="B27" t="s">
        <v>1327</v>
      </c>
      <c r="C27" t="s">
        <v>1290</v>
      </c>
      <c r="D27" t="s">
        <v>1050</v>
      </c>
      <c r="E27" t="s">
        <v>2094</v>
      </c>
      <c r="F27" t="s">
        <v>2296</v>
      </c>
      <c r="G27" t="s">
        <v>1250</v>
      </c>
      <c r="H27" t="s">
        <v>3825</v>
      </c>
      <c r="I27" t="s">
        <v>3839</v>
      </c>
      <c r="J27" t="s">
        <v>3272</v>
      </c>
      <c r="K27" t="s">
        <v>3273</v>
      </c>
      <c r="L27" t="s">
        <v>2499</v>
      </c>
      <c r="M27" s="1086">
        <v>154075.44</v>
      </c>
      <c r="N27" s="1086">
        <v>0</v>
      </c>
      <c r="O27" s="1086">
        <v>1885.38</v>
      </c>
      <c r="P27" s="1086">
        <v>9979.39</v>
      </c>
      <c r="Q27" s="1086">
        <v>0</v>
      </c>
      <c r="R27" s="1086">
        <v>0</v>
      </c>
      <c r="S27" s="1086">
        <v>0</v>
      </c>
      <c r="T27" s="1086">
        <v>2340.02</v>
      </c>
      <c r="U27" s="1086">
        <v>12347.29</v>
      </c>
      <c r="V27" s="1086">
        <v>0</v>
      </c>
      <c r="W27" s="1086">
        <v>0</v>
      </c>
      <c r="X27" s="1086">
        <v>0</v>
      </c>
      <c r="Y27" s="1086">
        <v>0</v>
      </c>
      <c r="Z27" s="1086">
        <v>0</v>
      </c>
      <c r="AA27" s="1086">
        <v>0</v>
      </c>
      <c r="AB27" s="1086">
        <v>0</v>
      </c>
      <c r="AC27" s="1086">
        <v>131294.12</v>
      </c>
      <c r="AD27" s="1086" t="s">
        <v>248</v>
      </c>
      <c r="AE27" s="1086" t="s">
        <v>3877</v>
      </c>
      <c r="AF27" s="1086">
        <f t="shared" si="0"/>
        <v>131294.12</v>
      </c>
      <c r="AG27" s="1086">
        <f t="shared" si="2"/>
        <v>0</v>
      </c>
      <c r="AL27" s="167" t="s">
        <v>1048</v>
      </c>
      <c r="AQ27" s="1086">
        <v>0</v>
      </c>
      <c r="AR27" s="1086">
        <v>0</v>
      </c>
      <c r="AS27" s="1086">
        <v>131294.12</v>
      </c>
      <c r="AT27" s="1086">
        <f t="shared" si="1"/>
        <v>0</v>
      </c>
      <c r="AV27" s="1150">
        <f t="shared" si="3"/>
        <v>24666.7</v>
      </c>
    </row>
    <row r="28" spans="1:48" x14ac:dyDescent="0.2">
      <c r="A28" s="19">
        <v>23</v>
      </c>
      <c r="B28" t="s">
        <v>1328</v>
      </c>
      <c r="C28" t="s">
        <v>1290</v>
      </c>
      <c r="D28" t="s">
        <v>1037</v>
      </c>
      <c r="E28" t="s">
        <v>2095</v>
      </c>
      <c r="F28" t="s">
        <v>2297</v>
      </c>
      <c r="G28" t="s">
        <v>1250</v>
      </c>
      <c r="H28" t="s">
        <v>3825</v>
      </c>
      <c r="I28" t="s">
        <v>3839</v>
      </c>
      <c r="J28" t="s">
        <v>3274</v>
      </c>
      <c r="K28" t="s">
        <v>3275</v>
      </c>
      <c r="L28" t="s">
        <v>2500</v>
      </c>
      <c r="M28" s="1086">
        <v>65920.800000000003</v>
      </c>
      <c r="N28" s="1086">
        <v>50957.36</v>
      </c>
      <c r="O28" s="1086">
        <v>500</v>
      </c>
      <c r="P28" s="1086">
        <v>0</v>
      </c>
      <c r="Q28" s="1086">
        <v>0</v>
      </c>
      <c r="R28" s="1086">
        <v>0</v>
      </c>
      <c r="S28" s="1086">
        <v>0</v>
      </c>
      <c r="T28" s="1086">
        <v>0</v>
      </c>
      <c r="U28" s="1086">
        <v>42403.37</v>
      </c>
      <c r="V28" s="1086">
        <v>0</v>
      </c>
      <c r="W28" s="1086">
        <v>33908.239999999998</v>
      </c>
      <c r="X28" s="1086">
        <v>0</v>
      </c>
      <c r="Y28" s="1086">
        <v>0</v>
      </c>
      <c r="Z28" s="1086">
        <v>0</v>
      </c>
      <c r="AA28" s="1086">
        <v>2192.1</v>
      </c>
      <c r="AB28" s="1086">
        <v>0</v>
      </c>
      <c r="AC28" s="1086">
        <v>38874.449999999997</v>
      </c>
      <c r="AD28" s="1086" t="s">
        <v>248</v>
      </c>
      <c r="AE28" s="1086" t="s">
        <v>3877</v>
      </c>
      <c r="AF28" s="1086">
        <f t="shared" si="0"/>
        <v>38874.449999999997</v>
      </c>
      <c r="AG28" s="1086">
        <f t="shared" si="2"/>
        <v>0</v>
      </c>
      <c r="AL28" s="167" t="s">
        <v>1049</v>
      </c>
      <c r="AQ28" s="1086">
        <v>0</v>
      </c>
      <c r="AR28" s="1086">
        <v>0</v>
      </c>
      <c r="AS28" s="1086">
        <v>38874.449999999997</v>
      </c>
      <c r="AT28" s="1086">
        <f t="shared" si="1"/>
        <v>0</v>
      </c>
      <c r="AV28" s="1150">
        <f t="shared" si="3"/>
        <v>78503.710000000006</v>
      </c>
    </row>
    <row r="29" spans="1:48" x14ac:dyDescent="0.2">
      <c r="A29" s="19">
        <v>24</v>
      </c>
      <c r="B29" t="s">
        <v>1329</v>
      </c>
      <c r="C29" t="s">
        <v>1290</v>
      </c>
      <c r="D29" t="s">
        <v>1037</v>
      </c>
      <c r="E29" t="s">
        <v>2095</v>
      </c>
      <c r="F29" t="s">
        <v>2297</v>
      </c>
      <c r="G29" t="s">
        <v>1250</v>
      </c>
      <c r="H29" t="s">
        <v>3825</v>
      </c>
      <c r="I29" t="s">
        <v>3839</v>
      </c>
      <c r="J29" t="s">
        <v>3274</v>
      </c>
      <c r="K29" t="s">
        <v>3276</v>
      </c>
      <c r="L29" t="s">
        <v>2501</v>
      </c>
      <c r="M29" s="1086">
        <v>765199.51</v>
      </c>
      <c r="N29" s="1086">
        <v>0</v>
      </c>
      <c r="O29" s="1086">
        <v>0</v>
      </c>
      <c r="P29" s="1086">
        <v>41214.22</v>
      </c>
      <c r="Q29" s="1086">
        <v>0</v>
      </c>
      <c r="R29" s="1086">
        <v>2074.09</v>
      </c>
      <c r="S29" s="1086">
        <v>0</v>
      </c>
      <c r="T29" s="1086">
        <v>8105.04</v>
      </c>
      <c r="U29" s="1086">
        <v>1236.98</v>
      </c>
      <c r="V29" s="1086">
        <v>0</v>
      </c>
      <c r="W29" s="1086">
        <v>0</v>
      </c>
      <c r="X29" s="1086">
        <v>0</v>
      </c>
      <c r="Y29" s="1086">
        <v>0</v>
      </c>
      <c r="Z29" s="1086">
        <v>0</v>
      </c>
      <c r="AA29" s="1086">
        <v>90000</v>
      </c>
      <c r="AB29" s="1086">
        <v>0</v>
      </c>
      <c r="AC29" s="1086">
        <v>622569.18000000005</v>
      </c>
      <c r="AD29" s="1086" t="s">
        <v>248</v>
      </c>
      <c r="AE29" s="1086" t="s">
        <v>3877</v>
      </c>
      <c r="AF29" s="1086">
        <f t="shared" si="0"/>
        <v>622569.17999999993</v>
      </c>
      <c r="AG29" s="1086">
        <f t="shared" si="2"/>
        <v>0</v>
      </c>
      <c r="AL29" s="167" t="s">
        <v>1050</v>
      </c>
      <c r="AQ29" s="1086">
        <v>0</v>
      </c>
      <c r="AR29" s="1086">
        <v>0</v>
      </c>
      <c r="AS29" s="1086">
        <v>622569.18000000005</v>
      </c>
      <c r="AT29" s="1086">
        <f t="shared" si="1"/>
        <v>0</v>
      </c>
      <c r="AV29" s="1150">
        <f t="shared" si="3"/>
        <v>142630.33000000002</v>
      </c>
    </row>
    <row r="30" spans="1:48" x14ac:dyDescent="0.2">
      <c r="A30" s="19">
        <v>25</v>
      </c>
      <c r="B30" t="s">
        <v>1330</v>
      </c>
      <c r="C30" t="s">
        <v>1290</v>
      </c>
      <c r="D30" t="s">
        <v>1037</v>
      </c>
      <c r="E30" t="s">
        <v>2095</v>
      </c>
      <c r="F30" t="s">
        <v>2297</v>
      </c>
      <c r="G30" t="s">
        <v>1250</v>
      </c>
      <c r="H30" t="s">
        <v>3826</v>
      </c>
      <c r="I30" t="s">
        <v>3839</v>
      </c>
      <c r="J30" t="s">
        <v>3274</v>
      </c>
      <c r="K30" t="s">
        <v>3277</v>
      </c>
      <c r="L30" t="s">
        <v>2502</v>
      </c>
      <c r="M30" s="1086">
        <v>310241.26</v>
      </c>
      <c r="N30" s="1086">
        <v>260979.75</v>
      </c>
      <c r="O30" s="1086">
        <v>0</v>
      </c>
      <c r="P30" s="1086">
        <v>0</v>
      </c>
      <c r="Q30" s="1086">
        <v>0</v>
      </c>
      <c r="R30" s="1086">
        <v>1987.96</v>
      </c>
      <c r="S30" s="1086">
        <v>46124.45</v>
      </c>
      <c r="T30" s="1086">
        <v>1976.42</v>
      </c>
      <c r="U30" s="1086">
        <v>232279.99</v>
      </c>
      <c r="V30" s="1086">
        <v>0</v>
      </c>
      <c r="W30" s="1086">
        <v>0</v>
      </c>
      <c r="X30" s="1086">
        <v>0</v>
      </c>
      <c r="Y30" s="1086">
        <v>0</v>
      </c>
      <c r="Z30" s="1086">
        <v>0</v>
      </c>
      <c r="AA30" s="1086">
        <v>8778.69</v>
      </c>
      <c r="AB30" s="1086">
        <v>0</v>
      </c>
      <c r="AC30" s="1086">
        <v>280073.5</v>
      </c>
      <c r="AD30" s="1086" t="s">
        <v>248</v>
      </c>
      <c r="AE30" s="1086" t="s">
        <v>3877</v>
      </c>
      <c r="AF30" s="1086">
        <f t="shared" si="0"/>
        <v>280073.5</v>
      </c>
      <c r="AG30" s="1086">
        <f t="shared" si="2"/>
        <v>0</v>
      </c>
      <c r="AL30" s="167" t="s">
        <v>1051</v>
      </c>
      <c r="AQ30" s="1086">
        <v>0</v>
      </c>
      <c r="AR30" s="1086">
        <v>0</v>
      </c>
      <c r="AS30" s="1086">
        <v>280073.5</v>
      </c>
      <c r="AT30" s="1086">
        <f t="shared" si="1"/>
        <v>0</v>
      </c>
      <c r="AV30" s="1150">
        <f t="shared" si="3"/>
        <v>291147.51</v>
      </c>
    </row>
    <row r="31" spans="1:48" x14ac:dyDescent="0.2">
      <c r="A31" s="19">
        <v>26</v>
      </c>
      <c r="B31" t="s">
        <v>1331</v>
      </c>
      <c r="C31" t="s">
        <v>1290</v>
      </c>
      <c r="D31" t="s">
        <v>1056</v>
      </c>
      <c r="E31" t="s">
        <v>2096</v>
      </c>
      <c r="F31" t="s">
        <v>2298</v>
      </c>
      <c r="G31" t="s">
        <v>1256</v>
      </c>
      <c r="H31" t="s">
        <v>3827</v>
      </c>
      <c r="I31" t="s">
        <v>3839</v>
      </c>
      <c r="J31" t="s">
        <v>3278</v>
      </c>
      <c r="K31" t="s">
        <v>3279</v>
      </c>
      <c r="L31" t="s">
        <v>2503</v>
      </c>
      <c r="M31" s="1086">
        <v>876554.43</v>
      </c>
      <c r="N31" s="1086">
        <v>0</v>
      </c>
      <c r="O31" s="1086">
        <v>721642</v>
      </c>
      <c r="P31" s="1086">
        <v>402298.19</v>
      </c>
      <c r="Q31" s="1086">
        <v>0</v>
      </c>
      <c r="R31" s="1086">
        <v>0</v>
      </c>
      <c r="S31" s="1086">
        <v>0</v>
      </c>
      <c r="T31" s="1086">
        <v>135489.23000000001</v>
      </c>
      <c r="U31" s="1086">
        <v>321628.51</v>
      </c>
      <c r="V31" s="1086">
        <v>0</v>
      </c>
      <c r="W31" s="1086">
        <v>0</v>
      </c>
      <c r="X31" s="1086">
        <v>11121.47</v>
      </c>
      <c r="Y31" s="1086">
        <v>0</v>
      </c>
      <c r="Z31" s="1086">
        <v>0</v>
      </c>
      <c r="AA31" s="1086">
        <v>0</v>
      </c>
      <c r="AB31" s="1086">
        <v>0</v>
      </c>
      <c r="AC31" s="1086">
        <v>727659.03</v>
      </c>
      <c r="AD31" s="1086" t="s">
        <v>248</v>
      </c>
      <c r="AE31" s="1086" t="s">
        <v>3877</v>
      </c>
      <c r="AF31" s="1086">
        <f t="shared" si="0"/>
        <v>727659.03000000014</v>
      </c>
      <c r="AG31" s="1086">
        <f t="shared" si="2"/>
        <v>0</v>
      </c>
      <c r="AL31" s="167" t="s">
        <v>1052</v>
      </c>
      <c r="AQ31" s="1086">
        <v>0</v>
      </c>
      <c r="AR31" s="1086">
        <v>0</v>
      </c>
      <c r="AS31" s="1086">
        <v>727659.03</v>
      </c>
      <c r="AT31" s="1086">
        <f t="shared" si="1"/>
        <v>0</v>
      </c>
      <c r="AV31" s="1150">
        <f t="shared" si="3"/>
        <v>870537.4</v>
      </c>
    </row>
    <row r="32" spans="1:48" x14ac:dyDescent="0.2">
      <c r="A32" s="19">
        <v>27</v>
      </c>
      <c r="B32" t="s">
        <v>1332</v>
      </c>
      <c r="C32" t="s">
        <v>1290</v>
      </c>
      <c r="D32" t="s">
        <v>1056</v>
      </c>
      <c r="E32" t="s">
        <v>2096</v>
      </c>
      <c r="F32" t="s">
        <v>2298</v>
      </c>
      <c r="G32" t="s">
        <v>1256</v>
      </c>
      <c r="H32" t="s">
        <v>3827</v>
      </c>
      <c r="I32">
        <v>0</v>
      </c>
      <c r="L32" t="s">
        <v>2504</v>
      </c>
      <c r="M32" s="1086">
        <v>91461.26</v>
      </c>
      <c r="N32" s="1086">
        <v>0</v>
      </c>
      <c r="O32" s="1086">
        <v>0</v>
      </c>
      <c r="P32" s="1086">
        <v>0</v>
      </c>
      <c r="Q32" s="1086">
        <v>0</v>
      </c>
      <c r="R32" s="1086">
        <v>0</v>
      </c>
      <c r="S32" s="1086">
        <v>0</v>
      </c>
      <c r="T32" s="1086">
        <v>0</v>
      </c>
      <c r="U32" s="1086">
        <v>7000</v>
      </c>
      <c r="V32" s="1086">
        <v>0</v>
      </c>
      <c r="W32" s="1086">
        <v>0</v>
      </c>
      <c r="X32" s="1086">
        <v>0</v>
      </c>
      <c r="Y32" s="1086">
        <v>0</v>
      </c>
      <c r="Z32" s="1086">
        <v>0</v>
      </c>
      <c r="AA32" s="1086">
        <v>84461.26</v>
      </c>
      <c r="AB32" s="1086">
        <v>0</v>
      </c>
      <c r="AC32" s="1086">
        <v>0</v>
      </c>
      <c r="AD32" s="1086" t="s">
        <v>248</v>
      </c>
      <c r="AE32" s="1086" t="s">
        <v>3877</v>
      </c>
      <c r="AF32" s="1086">
        <f t="shared" si="0"/>
        <v>0</v>
      </c>
      <c r="AG32" s="1086">
        <f t="shared" si="2"/>
        <v>0</v>
      </c>
      <c r="AL32" s="167" t="s">
        <v>1053</v>
      </c>
      <c r="AQ32" s="1086">
        <v>0</v>
      </c>
      <c r="AR32" s="1086">
        <v>0</v>
      </c>
      <c r="AS32" s="1086">
        <v>0</v>
      </c>
      <c r="AT32" s="1086">
        <f t="shared" si="1"/>
        <v>0</v>
      </c>
      <c r="AV32" s="1150">
        <f t="shared" si="3"/>
        <v>91461.26</v>
      </c>
    </row>
    <row r="33" spans="1:48" x14ac:dyDescent="0.2">
      <c r="A33" s="19">
        <v>28</v>
      </c>
      <c r="B33" t="s">
        <v>1333</v>
      </c>
      <c r="C33" t="s">
        <v>1290</v>
      </c>
      <c r="D33" t="s">
        <v>1056</v>
      </c>
      <c r="E33" t="s">
        <v>2096</v>
      </c>
      <c r="F33" t="s">
        <v>2298</v>
      </c>
      <c r="G33" t="s">
        <v>1256</v>
      </c>
      <c r="H33" t="s">
        <v>3827</v>
      </c>
      <c r="I33" t="s">
        <v>3839</v>
      </c>
      <c r="J33" t="s">
        <v>3278</v>
      </c>
      <c r="K33" t="s">
        <v>3280</v>
      </c>
      <c r="L33" t="s">
        <v>2505</v>
      </c>
      <c r="M33" s="1086">
        <v>3212652.17</v>
      </c>
      <c r="N33" s="1086">
        <v>680043.18</v>
      </c>
      <c r="O33" s="1086">
        <v>0</v>
      </c>
      <c r="P33" s="1086">
        <v>219339.96</v>
      </c>
      <c r="Q33" s="1086">
        <v>0</v>
      </c>
      <c r="R33" s="1086">
        <v>54910.66</v>
      </c>
      <c r="S33" s="1086">
        <v>18368.07</v>
      </c>
      <c r="T33" s="1086">
        <v>88406.48</v>
      </c>
      <c r="U33" s="1086">
        <v>223212.84</v>
      </c>
      <c r="V33" s="1086">
        <v>0</v>
      </c>
      <c r="W33" s="1086">
        <v>0</v>
      </c>
      <c r="X33" s="1086">
        <v>6743.22</v>
      </c>
      <c r="Y33" s="1086">
        <v>0</v>
      </c>
      <c r="Z33" s="1086">
        <v>0</v>
      </c>
      <c r="AA33" s="1086">
        <v>41955.12</v>
      </c>
      <c r="AB33" s="1086">
        <v>0</v>
      </c>
      <c r="AC33" s="1086">
        <v>3239759</v>
      </c>
      <c r="AD33" s="1086" t="s">
        <v>248</v>
      </c>
      <c r="AE33" s="1086" t="s">
        <v>3877</v>
      </c>
      <c r="AF33" s="1086">
        <f t="shared" si="0"/>
        <v>3239759</v>
      </c>
      <c r="AG33" s="1086">
        <f t="shared" si="2"/>
        <v>0</v>
      </c>
      <c r="AL33" s="167" t="s">
        <v>1054</v>
      </c>
      <c r="AQ33" s="1086">
        <v>0</v>
      </c>
      <c r="AR33" s="1086">
        <v>0</v>
      </c>
      <c r="AS33" s="1086">
        <v>3239759</v>
      </c>
      <c r="AT33" s="1086">
        <f t="shared" si="1"/>
        <v>0</v>
      </c>
      <c r="AV33" s="1150">
        <f t="shared" si="3"/>
        <v>652936.35</v>
      </c>
    </row>
    <row r="34" spans="1:48" x14ac:dyDescent="0.2">
      <c r="A34" s="19">
        <v>29</v>
      </c>
      <c r="B34" t="s">
        <v>1334</v>
      </c>
      <c r="C34" t="s">
        <v>1290</v>
      </c>
      <c r="D34" t="s">
        <v>1035</v>
      </c>
      <c r="E34" t="s">
        <v>2097</v>
      </c>
      <c r="F34" t="s">
        <v>2299</v>
      </c>
      <c r="G34" t="s">
        <v>1250</v>
      </c>
      <c r="H34" t="s">
        <v>3825</v>
      </c>
      <c r="I34" t="s">
        <v>3839</v>
      </c>
      <c r="J34" t="s">
        <v>3281</v>
      </c>
      <c r="K34" t="s">
        <v>3282</v>
      </c>
      <c r="L34" t="s">
        <v>2506</v>
      </c>
      <c r="M34" s="1086">
        <v>28654.81</v>
      </c>
      <c r="N34" s="1086">
        <v>500</v>
      </c>
      <c r="O34" s="1086">
        <v>36072.19</v>
      </c>
      <c r="P34" s="1086">
        <v>0</v>
      </c>
      <c r="Q34" s="1086">
        <v>0</v>
      </c>
      <c r="R34" s="1086">
        <v>0</v>
      </c>
      <c r="S34" s="1086">
        <v>0</v>
      </c>
      <c r="T34" s="1086">
        <v>0</v>
      </c>
      <c r="U34" s="1086">
        <v>24658.85</v>
      </c>
      <c r="V34" s="1086">
        <v>0</v>
      </c>
      <c r="W34" s="1086">
        <v>859.69</v>
      </c>
      <c r="X34" s="1086">
        <v>11294.5</v>
      </c>
      <c r="Y34" s="1086">
        <v>0</v>
      </c>
      <c r="Z34" s="1086">
        <v>0</v>
      </c>
      <c r="AA34" s="1086">
        <v>2227.5</v>
      </c>
      <c r="AB34" s="1086">
        <v>0</v>
      </c>
      <c r="AC34" s="1086">
        <v>26186.46</v>
      </c>
      <c r="AD34" s="1086" t="s">
        <v>248</v>
      </c>
      <c r="AE34" s="1086" t="s">
        <v>3877</v>
      </c>
      <c r="AF34" s="1086">
        <f t="shared" si="0"/>
        <v>26186.460000000006</v>
      </c>
      <c r="AG34" s="1086">
        <f t="shared" si="2"/>
        <v>0</v>
      </c>
      <c r="AL34" s="167" t="s">
        <v>1055</v>
      </c>
      <c r="AQ34" s="1086">
        <v>0</v>
      </c>
      <c r="AR34" s="1086">
        <v>0</v>
      </c>
      <c r="AS34" s="1086">
        <v>25685.46</v>
      </c>
      <c r="AT34" s="1086">
        <f t="shared" si="1"/>
        <v>501</v>
      </c>
      <c r="AU34" s="167" t="s">
        <v>3910</v>
      </c>
      <c r="AV34" s="1150">
        <f t="shared" si="3"/>
        <v>39040.539999999994</v>
      </c>
    </row>
    <row r="35" spans="1:48" x14ac:dyDescent="0.2">
      <c r="A35" s="19">
        <v>30</v>
      </c>
      <c r="B35" t="s">
        <v>1335</v>
      </c>
      <c r="C35" t="s">
        <v>1290</v>
      </c>
      <c r="D35" t="s">
        <v>1049</v>
      </c>
      <c r="E35" t="s">
        <v>2098</v>
      </c>
      <c r="F35" t="s">
        <v>2300</v>
      </c>
      <c r="G35" t="s">
        <v>1250</v>
      </c>
      <c r="H35" t="s">
        <v>3826</v>
      </c>
      <c r="I35">
        <v>0</v>
      </c>
      <c r="L35" t="s">
        <v>2507</v>
      </c>
      <c r="M35" s="1086">
        <v>62948.5</v>
      </c>
      <c r="N35" s="1086">
        <v>21605.91</v>
      </c>
      <c r="O35" s="1086">
        <v>4300</v>
      </c>
      <c r="P35" s="1086">
        <v>56081</v>
      </c>
      <c r="Q35" s="1086">
        <v>0</v>
      </c>
      <c r="R35" s="1086">
        <v>0</v>
      </c>
      <c r="S35" s="1086">
        <v>20805.7</v>
      </c>
      <c r="T35" s="1086">
        <v>11403.75</v>
      </c>
      <c r="U35" s="1086">
        <v>9093.64</v>
      </c>
      <c r="V35" s="1086">
        <v>0</v>
      </c>
      <c r="W35" s="1086">
        <v>824.67</v>
      </c>
      <c r="X35" s="1086">
        <v>0</v>
      </c>
      <c r="Y35" s="1086">
        <v>-26885</v>
      </c>
      <c r="Z35" s="1086">
        <v>0</v>
      </c>
      <c r="AA35" s="1086">
        <v>6480.37</v>
      </c>
      <c r="AB35" s="1086">
        <v>0</v>
      </c>
      <c r="AC35" s="1086">
        <v>11050.28</v>
      </c>
      <c r="AD35" s="1086" t="s">
        <v>248</v>
      </c>
      <c r="AE35" s="1086" t="s">
        <v>3877</v>
      </c>
      <c r="AF35" s="1086">
        <f t="shared" si="0"/>
        <v>11050.280000000013</v>
      </c>
      <c r="AG35" s="1086">
        <f t="shared" si="2"/>
        <v>0</v>
      </c>
      <c r="AL35" s="167" t="s">
        <v>1056</v>
      </c>
      <c r="AQ35" s="1086">
        <v>0</v>
      </c>
      <c r="AR35" s="1086">
        <v>0</v>
      </c>
      <c r="AS35" s="1086">
        <v>11050.28</v>
      </c>
      <c r="AT35" s="1086">
        <f t="shared" si="1"/>
        <v>0</v>
      </c>
      <c r="AV35" s="1150">
        <f t="shared" si="3"/>
        <v>77804.12999999999</v>
      </c>
    </row>
    <row r="36" spans="1:48" x14ac:dyDescent="0.2">
      <c r="A36" s="19">
        <v>31</v>
      </c>
      <c r="B36" t="s">
        <v>1336</v>
      </c>
      <c r="C36" t="s">
        <v>1290</v>
      </c>
      <c r="D36" t="s">
        <v>1027</v>
      </c>
      <c r="E36" t="s">
        <v>2099</v>
      </c>
      <c r="F36" t="s">
        <v>2301</v>
      </c>
      <c r="G36" t="s">
        <v>1254</v>
      </c>
      <c r="H36" t="s">
        <v>3823</v>
      </c>
      <c r="I36" t="s">
        <v>3839</v>
      </c>
      <c r="J36" t="s">
        <v>3246</v>
      </c>
      <c r="K36" t="s">
        <v>3283</v>
      </c>
      <c r="L36" t="s">
        <v>2508</v>
      </c>
      <c r="M36" s="1086">
        <v>79786.45</v>
      </c>
      <c r="N36" s="1086">
        <v>347585.54</v>
      </c>
      <c r="O36" s="1086">
        <v>570000</v>
      </c>
      <c r="P36" s="1086">
        <v>127035.69</v>
      </c>
      <c r="Q36" s="1086">
        <v>0</v>
      </c>
      <c r="R36" s="1086">
        <v>0</v>
      </c>
      <c r="S36" s="1086">
        <v>888.42</v>
      </c>
      <c r="T36" s="1086">
        <v>44784.83</v>
      </c>
      <c r="U36" s="1086">
        <v>737387.48</v>
      </c>
      <c r="V36" s="1086">
        <v>0</v>
      </c>
      <c r="W36" s="1086">
        <v>0</v>
      </c>
      <c r="X36" s="1086">
        <v>14579.15</v>
      </c>
      <c r="Y36" s="1086">
        <v>0</v>
      </c>
      <c r="Z36" s="1086">
        <v>0</v>
      </c>
      <c r="AA36" s="1086">
        <v>13922.06</v>
      </c>
      <c r="AB36" s="1086">
        <v>0</v>
      </c>
      <c r="AC36" s="1086">
        <v>58774.36</v>
      </c>
      <c r="AD36" s="1086" t="s">
        <v>248</v>
      </c>
      <c r="AE36" s="1086" t="s">
        <v>3877</v>
      </c>
      <c r="AF36" s="1086">
        <f t="shared" si="0"/>
        <v>58774.359999999986</v>
      </c>
      <c r="AG36" s="1086">
        <f t="shared" si="2"/>
        <v>0</v>
      </c>
      <c r="AL36" s="167" t="s">
        <v>1057</v>
      </c>
      <c r="AQ36" s="1086">
        <v>0</v>
      </c>
      <c r="AR36" s="1086">
        <v>0</v>
      </c>
      <c r="AS36" s="1086">
        <v>58774.36</v>
      </c>
      <c r="AT36" s="1086">
        <f t="shared" si="1"/>
        <v>0</v>
      </c>
      <c r="AV36" s="1150">
        <f t="shared" si="3"/>
        <v>938597.63</v>
      </c>
    </row>
    <row r="37" spans="1:48" x14ac:dyDescent="0.2">
      <c r="A37" s="19">
        <v>32</v>
      </c>
      <c r="B37" t="s">
        <v>1337</v>
      </c>
      <c r="C37" t="s">
        <v>1290</v>
      </c>
      <c r="D37" t="s">
        <v>1050</v>
      </c>
      <c r="E37" t="s">
        <v>2100</v>
      </c>
      <c r="F37" t="s">
        <v>2302</v>
      </c>
      <c r="G37" t="s">
        <v>1250</v>
      </c>
      <c r="H37" t="s">
        <v>3825</v>
      </c>
      <c r="I37" t="s">
        <v>3839</v>
      </c>
      <c r="J37" t="s">
        <v>3272</v>
      </c>
      <c r="K37" t="s">
        <v>3284</v>
      </c>
      <c r="L37" t="s">
        <v>2509</v>
      </c>
      <c r="M37" s="1086">
        <v>204278.34</v>
      </c>
      <c r="N37" s="1086">
        <v>0</v>
      </c>
      <c r="O37" s="1086">
        <v>737477.94</v>
      </c>
      <c r="P37" s="1086">
        <v>138624.95000000001</v>
      </c>
      <c r="Q37" s="1086">
        <v>0</v>
      </c>
      <c r="R37" s="1086">
        <v>1370.41</v>
      </c>
      <c r="S37" s="1086">
        <v>31071.33</v>
      </c>
      <c r="T37" s="1086">
        <v>24641</v>
      </c>
      <c r="U37" s="1086">
        <v>59538.52</v>
      </c>
      <c r="V37" s="1086">
        <v>0</v>
      </c>
      <c r="W37" s="1086">
        <v>17818.18</v>
      </c>
      <c r="X37" s="1086">
        <v>20402.28</v>
      </c>
      <c r="Y37" s="1086">
        <v>0</v>
      </c>
      <c r="Z37" s="1086">
        <v>0</v>
      </c>
      <c r="AA37" s="1086">
        <v>317725.17</v>
      </c>
      <c r="AB37" s="1086">
        <v>0</v>
      </c>
      <c r="AC37" s="1086">
        <v>330564.44</v>
      </c>
      <c r="AD37" s="1086" t="s">
        <v>248</v>
      </c>
      <c r="AE37" s="1086" t="s">
        <v>3877</v>
      </c>
      <c r="AF37" s="1086">
        <f t="shared" si="0"/>
        <v>330564.43999999983</v>
      </c>
      <c r="AG37" s="1086">
        <f t="shared" si="2"/>
        <v>0</v>
      </c>
      <c r="AL37" s="167" t="s">
        <v>1058</v>
      </c>
      <c r="AQ37" s="1086">
        <v>0</v>
      </c>
      <c r="AR37" s="1086">
        <v>0</v>
      </c>
      <c r="AS37" s="1086">
        <v>330564.44</v>
      </c>
      <c r="AT37" s="1086">
        <f t="shared" si="1"/>
        <v>0</v>
      </c>
      <c r="AV37" s="1150">
        <f t="shared" si="3"/>
        <v>611191.84000000008</v>
      </c>
    </row>
    <row r="38" spans="1:48" x14ac:dyDescent="0.2">
      <c r="A38" s="19">
        <v>33</v>
      </c>
      <c r="B38" t="s">
        <v>1338</v>
      </c>
      <c r="C38" t="s">
        <v>1290</v>
      </c>
      <c r="D38" t="s">
        <v>1047</v>
      </c>
      <c r="E38" t="s">
        <v>2101</v>
      </c>
      <c r="F38" t="s">
        <v>2479</v>
      </c>
      <c r="G38" t="s">
        <v>608</v>
      </c>
      <c r="H38" t="s">
        <v>3826</v>
      </c>
      <c r="I38" t="s">
        <v>3840</v>
      </c>
      <c r="J38" t="s">
        <v>3260</v>
      </c>
      <c r="K38" t="s">
        <v>3285</v>
      </c>
      <c r="L38" t="s">
        <v>2510</v>
      </c>
      <c r="M38" s="1086">
        <v>-1659648.97</v>
      </c>
      <c r="N38" s="1086">
        <v>2132583.5699999998</v>
      </c>
      <c r="O38" s="1086">
        <v>0</v>
      </c>
      <c r="P38" s="1086">
        <v>2145525.83</v>
      </c>
      <c r="Q38" s="1086">
        <v>2000</v>
      </c>
      <c r="R38" s="1086">
        <v>0</v>
      </c>
      <c r="S38" s="1086">
        <v>22735</v>
      </c>
      <c r="T38" s="1086">
        <v>353223.49</v>
      </c>
      <c r="U38" s="1086">
        <v>1256272.3899999999</v>
      </c>
      <c r="V38" s="1086">
        <v>0</v>
      </c>
      <c r="W38" s="1086">
        <v>25905.63</v>
      </c>
      <c r="X38" s="1086">
        <v>336207.91</v>
      </c>
      <c r="Y38" s="1086">
        <v>-2500</v>
      </c>
      <c r="Z38" s="1086">
        <v>0</v>
      </c>
      <c r="AA38" s="1086">
        <v>0</v>
      </c>
      <c r="AB38" s="1086">
        <v>0</v>
      </c>
      <c r="AC38" s="1086">
        <v>-3666435.65</v>
      </c>
      <c r="AD38" s="1103" t="s">
        <v>608</v>
      </c>
      <c r="AE38" s="1086" t="s">
        <v>3878</v>
      </c>
      <c r="AF38" s="1086">
        <f t="shared" si="0"/>
        <v>-3666435.6500000004</v>
      </c>
      <c r="AG38" s="1086">
        <f t="shared" si="2"/>
        <v>0</v>
      </c>
      <c r="AL38" s="167" t="s">
        <v>1059</v>
      </c>
      <c r="AQ38" s="1086">
        <v>0</v>
      </c>
      <c r="AR38" s="1086">
        <v>0</v>
      </c>
      <c r="AS38" s="1086">
        <v>-3703413.34</v>
      </c>
      <c r="AT38" s="1086">
        <f t="shared" si="1"/>
        <v>36977.689999999944</v>
      </c>
      <c r="AU38" s="167" t="s">
        <v>3918</v>
      </c>
      <c r="AV38" s="1150">
        <f t="shared" si="3"/>
        <v>4139370.25</v>
      </c>
    </row>
    <row r="39" spans="1:48" x14ac:dyDescent="0.2">
      <c r="A39" s="19">
        <v>34</v>
      </c>
      <c r="B39" t="s">
        <v>1339</v>
      </c>
      <c r="C39" t="s">
        <v>1290</v>
      </c>
      <c r="D39" t="s">
        <v>1047</v>
      </c>
      <c r="E39" t="s">
        <v>2102</v>
      </c>
      <c r="F39" t="s">
        <v>2479</v>
      </c>
      <c r="G39" t="s">
        <v>608</v>
      </c>
      <c r="H39" t="s">
        <v>3826</v>
      </c>
      <c r="I39" t="s">
        <v>3840</v>
      </c>
      <c r="J39" t="s">
        <v>3260</v>
      </c>
      <c r="K39" t="s">
        <v>3286</v>
      </c>
      <c r="L39" t="s">
        <v>2511</v>
      </c>
      <c r="M39" s="1086">
        <v>-204380.51</v>
      </c>
      <c r="N39" s="1086">
        <v>18769.28</v>
      </c>
      <c r="O39" s="1086">
        <v>0</v>
      </c>
      <c r="P39" s="1086">
        <v>115698.06</v>
      </c>
      <c r="Q39" s="1086">
        <v>0</v>
      </c>
      <c r="R39" s="1086">
        <v>0</v>
      </c>
      <c r="S39" s="1086">
        <v>0</v>
      </c>
      <c r="T39" s="1086">
        <v>30541.24</v>
      </c>
      <c r="U39" s="1086">
        <v>34290.75</v>
      </c>
      <c r="V39" s="1086">
        <v>0</v>
      </c>
      <c r="W39" s="1086">
        <v>384.82</v>
      </c>
      <c r="X39" s="1086">
        <v>55023.75</v>
      </c>
      <c r="Y39" s="1086">
        <v>0</v>
      </c>
      <c r="Z39" s="1086">
        <v>0</v>
      </c>
      <c r="AA39" s="1086">
        <v>0</v>
      </c>
      <c r="AB39" s="1086">
        <v>0</v>
      </c>
      <c r="AC39" s="1086">
        <v>-421549.85</v>
      </c>
      <c r="AD39" s="1103" t="s">
        <v>608</v>
      </c>
      <c r="AE39" s="1086" t="s">
        <v>3878</v>
      </c>
      <c r="AF39" s="1086">
        <f t="shared" si="0"/>
        <v>-421549.85</v>
      </c>
      <c r="AG39" s="1086">
        <f t="shared" si="2"/>
        <v>0</v>
      </c>
      <c r="AL39" s="167" t="s">
        <v>1060</v>
      </c>
      <c r="AQ39" s="1086">
        <v>0</v>
      </c>
      <c r="AR39" s="1086">
        <v>0</v>
      </c>
      <c r="AS39" s="1086">
        <v>-421549.85</v>
      </c>
      <c r="AT39" s="1086">
        <f t="shared" si="1"/>
        <v>0</v>
      </c>
      <c r="AV39" s="1150">
        <f t="shared" si="3"/>
        <v>235938.62</v>
      </c>
    </row>
    <row r="40" spans="1:48" x14ac:dyDescent="0.2">
      <c r="A40" s="19">
        <v>35</v>
      </c>
      <c r="B40" t="s">
        <v>1340</v>
      </c>
      <c r="C40" t="s">
        <v>1290</v>
      </c>
      <c r="D40" t="s">
        <v>1047</v>
      </c>
      <c r="E40" t="s">
        <v>2102</v>
      </c>
      <c r="F40" t="s">
        <v>2479</v>
      </c>
      <c r="G40" t="s">
        <v>608</v>
      </c>
      <c r="H40" t="s">
        <v>3826</v>
      </c>
      <c r="I40" t="s">
        <v>3840</v>
      </c>
      <c r="J40" t="s">
        <v>3260</v>
      </c>
      <c r="K40" t="s">
        <v>3287</v>
      </c>
      <c r="L40" t="s">
        <v>2512</v>
      </c>
      <c r="M40" s="1086">
        <v>-537562.75</v>
      </c>
      <c r="N40" s="1086">
        <v>12890</v>
      </c>
      <c r="O40" s="1086">
        <v>0</v>
      </c>
      <c r="P40" s="1086">
        <v>265958.63</v>
      </c>
      <c r="Q40" s="1086">
        <v>0</v>
      </c>
      <c r="R40" s="1086">
        <v>0</v>
      </c>
      <c r="S40" s="1086">
        <v>5945.25</v>
      </c>
      <c r="T40" s="1086">
        <v>72666.789999999994</v>
      </c>
      <c r="U40" s="1086">
        <v>73405.2</v>
      </c>
      <c r="V40" s="1086">
        <v>0</v>
      </c>
      <c r="W40" s="1086">
        <v>8533.1200000000008</v>
      </c>
      <c r="X40" s="1086">
        <v>137027.79999999999</v>
      </c>
      <c r="Y40" s="1086">
        <v>0</v>
      </c>
      <c r="Z40" s="1086">
        <v>0</v>
      </c>
      <c r="AA40" s="1086">
        <v>0</v>
      </c>
      <c r="AB40" s="1086">
        <v>0</v>
      </c>
      <c r="AC40" s="1086">
        <v>-1088209.54</v>
      </c>
      <c r="AD40" s="1103" t="s">
        <v>608</v>
      </c>
      <c r="AE40" s="1086" t="s">
        <v>3878</v>
      </c>
      <c r="AF40" s="1086">
        <f t="shared" si="0"/>
        <v>-1088209.54</v>
      </c>
      <c r="AG40" s="1086">
        <f t="shared" si="2"/>
        <v>0</v>
      </c>
      <c r="AL40" s="167" t="s">
        <v>1061</v>
      </c>
      <c r="AQ40" s="1086">
        <v>0</v>
      </c>
      <c r="AR40" s="1086">
        <v>0</v>
      </c>
      <c r="AS40" s="1086">
        <v>-1088209.54</v>
      </c>
      <c r="AT40" s="1086">
        <f t="shared" si="1"/>
        <v>0</v>
      </c>
      <c r="AV40" s="1150">
        <f t="shared" si="3"/>
        <v>563536.79</v>
      </c>
    </row>
    <row r="41" spans="1:48" x14ac:dyDescent="0.2">
      <c r="A41" s="19">
        <v>36</v>
      </c>
      <c r="B41" t="s">
        <v>1341</v>
      </c>
      <c r="C41" t="s">
        <v>1290</v>
      </c>
      <c r="D41" t="s">
        <v>1047</v>
      </c>
      <c r="E41" t="s">
        <v>2102</v>
      </c>
      <c r="F41" t="s">
        <v>2479</v>
      </c>
      <c r="G41" t="s">
        <v>608</v>
      </c>
      <c r="H41" t="s">
        <v>3826</v>
      </c>
      <c r="I41" t="s">
        <v>3840</v>
      </c>
      <c r="J41" t="s">
        <v>3260</v>
      </c>
      <c r="K41" t="s">
        <v>3288</v>
      </c>
      <c r="L41" t="s">
        <v>2513</v>
      </c>
      <c r="M41" s="1086">
        <v>-81977.42</v>
      </c>
      <c r="N41" s="1086">
        <v>3364</v>
      </c>
      <c r="O41" s="1086">
        <v>0</v>
      </c>
      <c r="P41" s="1086">
        <v>38487.519999999997</v>
      </c>
      <c r="Q41" s="1086">
        <v>0</v>
      </c>
      <c r="R41" s="1086">
        <v>0</v>
      </c>
      <c r="S41" s="1086">
        <v>0</v>
      </c>
      <c r="T41" s="1086">
        <v>14732.36</v>
      </c>
      <c r="U41" s="1086">
        <v>6991.73</v>
      </c>
      <c r="V41" s="1086">
        <v>0</v>
      </c>
      <c r="W41" s="1086">
        <v>182</v>
      </c>
      <c r="X41" s="1086">
        <v>18079.05</v>
      </c>
      <c r="Y41" s="1086">
        <v>0</v>
      </c>
      <c r="Z41" s="1086">
        <v>0</v>
      </c>
      <c r="AA41" s="1086">
        <v>0</v>
      </c>
      <c r="AB41" s="1086">
        <v>0</v>
      </c>
      <c r="AC41" s="1086">
        <v>-157086.07999999999</v>
      </c>
      <c r="AD41" s="1103" t="s">
        <v>608</v>
      </c>
      <c r="AE41" s="1086" t="s">
        <v>3878</v>
      </c>
      <c r="AF41" s="1086">
        <f t="shared" si="0"/>
        <v>-157086.08000000002</v>
      </c>
      <c r="AG41" s="1086">
        <f t="shared" si="2"/>
        <v>0</v>
      </c>
      <c r="AL41" s="167" t="s">
        <v>1062</v>
      </c>
      <c r="AQ41" s="1086">
        <v>0</v>
      </c>
      <c r="AR41" s="1086">
        <v>0</v>
      </c>
      <c r="AS41" s="1086">
        <v>-157086.07999999999</v>
      </c>
      <c r="AT41" s="1086">
        <f t="shared" si="1"/>
        <v>0</v>
      </c>
      <c r="AV41" s="1150">
        <f t="shared" si="3"/>
        <v>78472.66</v>
      </c>
    </row>
    <row r="42" spans="1:48" x14ac:dyDescent="0.2">
      <c r="A42" s="19">
        <v>37</v>
      </c>
      <c r="B42" t="s">
        <v>1342</v>
      </c>
      <c r="C42" t="s">
        <v>1290</v>
      </c>
      <c r="D42" t="s">
        <v>1047</v>
      </c>
      <c r="E42" t="s">
        <v>2102</v>
      </c>
      <c r="F42" t="s">
        <v>2479</v>
      </c>
      <c r="G42" t="s">
        <v>608</v>
      </c>
      <c r="H42" t="s">
        <v>3826</v>
      </c>
      <c r="I42" t="s">
        <v>3840</v>
      </c>
      <c r="J42" t="s">
        <v>3260</v>
      </c>
      <c r="K42" t="s">
        <v>3289</v>
      </c>
      <c r="L42" t="s">
        <v>2514</v>
      </c>
      <c r="M42" s="1086">
        <v>-290420.84000000003</v>
      </c>
      <c r="N42" s="1086">
        <v>42233</v>
      </c>
      <c r="O42" s="1086">
        <v>0</v>
      </c>
      <c r="P42" s="1086">
        <v>134558.65</v>
      </c>
      <c r="Q42" s="1086">
        <v>0</v>
      </c>
      <c r="R42" s="1086">
        <v>0</v>
      </c>
      <c r="S42" s="1086">
        <v>0</v>
      </c>
      <c r="T42" s="1086">
        <v>40593.94</v>
      </c>
      <c r="U42" s="1086">
        <v>45109.87</v>
      </c>
      <c r="V42" s="1086">
        <v>0</v>
      </c>
      <c r="W42" s="1086">
        <v>2680.69</v>
      </c>
      <c r="X42" s="1086">
        <v>60017.41</v>
      </c>
      <c r="Y42" s="1086">
        <v>0</v>
      </c>
      <c r="Z42" s="1086">
        <v>0</v>
      </c>
      <c r="AA42" s="1086">
        <v>0</v>
      </c>
      <c r="AB42" s="1086">
        <v>0</v>
      </c>
      <c r="AC42" s="1086">
        <v>-531148.4</v>
      </c>
      <c r="AD42" s="1103" t="s">
        <v>608</v>
      </c>
      <c r="AE42" s="1086" t="s">
        <v>3878</v>
      </c>
      <c r="AF42" s="1086">
        <f t="shared" si="0"/>
        <v>-531148.4</v>
      </c>
      <c r="AG42" s="1086">
        <f t="shared" si="2"/>
        <v>0</v>
      </c>
      <c r="AQ42" s="1086">
        <v>0</v>
      </c>
      <c r="AR42" s="1086">
        <v>0</v>
      </c>
      <c r="AS42" s="1086">
        <v>-531148.4</v>
      </c>
      <c r="AT42" s="1086">
        <f t="shared" si="1"/>
        <v>0</v>
      </c>
      <c r="AV42" s="1150">
        <f t="shared" si="3"/>
        <v>282960.56</v>
      </c>
    </row>
    <row r="43" spans="1:48" x14ac:dyDescent="0.2">
      <c r="A43" s="19">
        <v>38</v>
      </c>
      <c r="B43" t="s">
        <v>1343</v>
      </c>
      <c r="C43" t="s">
        <v>1290</v>
      </c>
      <c r="D43" t="s">
        <v>1047</v>
      </c>
      <c r="E43" t="s">
        <v>2102</v>
      </c>
      <c r="F43" t="s">
        <v>2479</v>
      </c>
      <c r="G43" t="s">
        <v>608</v>
      </c>
      <c r="H43" t="s">
        <v>3826</v>
      </c>
      <c r="I43" t="s">
        <v>3840</v>
      </c>
      <c r="J43" t="s">
        <v>3260</v>
      </c>
      <c r="K43" t="s">
        <v>3290</v>
      </c>
      <c r="L43" t="s">
        <v>2515</v>
      </c>
      <c r="M43" s="1086">
        <v>-270188.05</v>
      </c>
      <c r="N43" s="1086">
        <v>7300.81</v>
      </c>
      <c r="O43" s="1086">
        <v>0</v>
      </c>
      <c r="P43" s="1086">
        <v>138790.96</v>
      </c>
      <c r="Q43" s="1086">
        <v>0</v>
      </c>
      <c r="R43" s="1086">
        <v>0</v>
      </c>
      <c r="S43" s="1086">
        <v>0</v>
      </c>
      <c r="T43" s="1086">
        <v>40617.589999999997</v>
      </c>
      <c r="U43" s="1086">
        <v>50031.34</v>
      </c>
      <c r="V43" s="1086">
        <v>0</v>
      </c>
      <c r="W43" s="1086">
        <v>302.26</v>
      </c>
      <c r="X43" s="1086">
        <v>91342.03</v>
      </c>
      <c r="Y43" s="1086">
        <v>0</v>
      </c>
      <c r="Z43" s="1086">
        <v>0</v>
      </c>
      <c r="AA43" s="1086">
        <v>0</v>
      </c>
      <c r="AB43" s="1086">
        <v>0</v>
      </c>
      <c r="AC43" s="1086">
        <v>-583971.42000000004</v>
      </c>
      <c r="AD43" s="1103" t="s">
        <v>608</v>
      </c>
      <c r="AE43" s="1086" t="s">
        <v>3878</v>
      </c>
      <c r="AF43" s="1086">
        <f t="shared" si="0"/>
        <v>-583971.41999999993</v>
      </c>
      <c r="AG43" s="1086">
        <f t="shared" si="2"/>
        <v>0</v>
      </c>
      <c r="AQ43" s="1086">
        <v>0</v>
      </c>
      <c r="AR43" s="1086">
        <v>0</v>
      </c>
      <c r="AS43" s="1086">
        <v>-583971.42000000004</v>
      </c>
      <c r="AT43" s="1086">
        <f t="shared" si="1"/>
        <v>0</v>
      </c>
      <c r="AV43" s="1150">
        <f t="shared" si="3"/>
        <v>321084.18</v>
      </c>
    </row>
    <row r="44" spans="1:48" x14ac:dyDescent="0.2">
      <c r="A44" s="19">
        <v>39</v>
      </c>
      <c r="B44" t="s">
        <v>1344</v>
      </c>
      <c r="C44" t="s">
        <v>1290</v>
      </c>
      <c r="D44" t="s">
        <v>1047</v>
      </c>
      <c r="E44" t="s">
        <v>2102</v>
      </c>
      <c r="F44" t="s">
        <v>2479</v>
      </c>
      <c r="G44" t="s">
        <v>608</v>
      </c>
      <c r="H44" t="s">
        <v>3826</v>
      </c>
      <c r="I44" t="s">
        <v>3840</v>
      </c>
      <c r="J44" t="s">
        <v>3260</v>
      </c>
      <c r="K44" t="s">
        <v>3291</v>
      </c>
      <c r="L44" t="s">
        <v>2516</v>
      </c>
      <c r="M44" s="1086">
        <v>-323330.78999999998</v>
      </c>
      <c r="N44" s="1086">
        <v>12301.58</v>
      </c>
      <c r="O44" s="1086">
        <v>0</v>
      </c>
      <c r="P44" s="1086">
        <v>143593.18</v>
      </c>
      <c r="Q44" s="1086">
        <v>0</v>
      </c>
      <c r="R44" s="1086">
        <v>0</v>
      </c>
      <c r="S44" s="1086">
        <v>0</v>
      </c>
      <c r="T44" s="1086">
        <v>44459.68</v>
      </c>
      <c r="U44" s="1086">
        <v>73490.87</v>
      </c>
      <c r="V44" s="1086">
        <v>0</v>
      </c>
      <c r="W44" s="1086">
        <v>4354.67</v>
      </c>
      <c r="X44" s="1086">
        <v>137710.26999999999</v>
      </c>
      <c r="Y44" s="1086">
        <v>0</v>
      </c>
      <c r="Z44" s="1086">
        <v>400</v>
      </c>
      <c r="AA44" s="1086">
        <v>0</v>
      </c>
      <c r="AB44" s="1086">
        <v>0</v>
      </c>
      <c r="AC44" s="1086">
        <v>-715037.88</v>
      </c>
      <c r="AD44" s="1103" t="s">
        <v>608</v>
      </c>
      <c r="AE44" s="1086" t="s">
        <v>3878</v>
      </c>
      <c r="AF44" s="1086">
        <f t="shared" si="0"/>
        <v>-715037.87999999989</v>
      </c>
      <c r="AG44" s="1086">
        <f t="shared" si="2"/>
        <v>0</v>
      </c>
      <c r="AQ44" s="1086">
        <v>0</v>
      </c>
      <c r="AR44" s="1086">
        <v>0</v>
      </c>
      <c r="AS44" s="1086">
        <v>-715037.88</v>
      </c>
      <c r="AT44" s="1086">
        <f t="shared" si="1"/>
        <v>0</v>
      </c>
      <c r="AV44" s="1150">
        <f t="shared" si="3"/>
        <v>404008.66999999993</v>
      </c>
    </row>
    <row r="45" spans="1:48" x14ac:dyDescent="0.2">
      <c r="A45" s="19">
        <v>40</v>
      </c>
      <c r="B45" t="s">
        <v>1345</v>
      </c>
      <c r="C45" t="s">
        <v>1290</v>
      </c>
      <c r="D45" t="s">
        <v>1047</v>
      </c>
      <c r="E45" t="s">
        <v>2102</v>
      </c>
      <c r="F45" t="s">
        <v>2479</v>
      </c>
      <c r="G45" t="s">
        <v>608</v>
      </c>
      <c r="H45" t="s">
        <v>3826</v>
      </c>
      <c r="I45" t="s">
        <v>3840</v>
      </c>
      <c r="J45" t="s">
        <v>3260</v>
      </c>
      <c r="K45" t="s">
        <v>3292</v>
      </c>
      <c r="L45" t="s">
        <v>2517</v>
      </c>
      <c r="M45" s="1086">
        <v>-379501.88</v>
      </c>
      <c r="N45" s="1086">
        <v>45190.64</v>
      </c>
      <c r="O45" s="1086">
        <v>0</v>
      </c>
      <c r="P45" s="1086">
        <v>193296.73</v>
      </c>
      <c r="Q45" s="1086">
        <v>0</v>
      </c>
      <c r="R45" s="1086">
        <v>0</v>
      </c>
      <c r="S45" s="1086">
        <v>12993.75</v>
      </c>
      <c r="T45" s="1086">
        <v>63030.58</v>
      </c>
      <c r="U45" s="1086">
        <v>134911.9</v>
      </c>
      <c r="V45" s="1086">
        <v>0</v>
      </c>
      <c r="W45" s="1086">
        <v>341.3</v>
      </c>
      <c r="X45" s="1086">
        <v>129360.44</v>
      </c>
      <c r="Y45" s="1086">
        <v>0</v>
      </c>
      <c r="Z45" s="1086">
        <v>0</v>
      </c>
      <c r="AA45" s="1086">
        <v>0</v>
      </c>
      <c r="AB45" s="1086">
        <v>0</v>
      </c>
      <c r="AC45" s="1086">
        <v>-868245.94</v>
      </c>
      <c r="AD45" s="1103" t="s">
        <v>608</v>
      </c>
      <c r="AE45" s="1086" t="s">
        <v>3878</v>
      </c>
      <c r="AF45" s="1086">
        <f t="shared" si="0"/>
        <v>-868245.94</v>
      </c>
      <c r="AG45" s="1086">
        <f t="shared" si="2"/>
        <v>0</v>
      </c>
      <c r="AQ45" s="1086">
        <v>0</v>
      </c>
      <c r="AR45" s="1086">
        <v>0</v>
      </c>
      <c r="AS45" s="1086">
        <v>-868245.94</v>
      </c>
      <c r="AT45" s="1086">
        <f t="shared" si="1"/>
        <v>0</v>
      </c>
      <c r="AV45" s="1150">
        <f t="shared" si="3"/>
        <v>533934.69999999995</v>
      </c>
    </row>
    <row r="46" spans="1:48" x14ac:dyDescent="0.2">
      <c r="A46" s="19">
        <v>41</v>
      </c>
      <c r="B46" t="s">
        <v>1346</v>
      </c>
      <c r="C46" t="s">
        <v>1290</v>
      </c>
      <c r="D46" t="s">
        <v>1047</v>
      </c>
      <c r="E46" t="s">
        <v>2102</v>
      </c>
      <c r="F46" t="s">
        <v>2479</v>
      </c>
      <c r="G46" t="s">
        <v>608</v>
      </c>
      <c r="H46" t="s">
        <v>3826</v>
      </c>
      <c r="I46" t="s">
        <v>3840</v>
      </c>
      <c r="J46" t="s">
        <v>3260</v>
      </c>
      <c r="K46" t="s">
        <v>3293</v>
      </c>
      <c r="L46" t="s">
        <v>2518</v>
      </c>
      <c r="M46" s="1086">
        <v>-251271.57</v>
      </c>
      <c r="N46" s="1086">
        <v>9228</v>
      </c>
      <c r="O46" s="1086">
        <v>0</v>
      </c>
      <c r="P46" s="1086">
        <v>162698.35999999999</v>
      </c>
      <c r="Q46" s="1086">
        <v>0</v>
      </c>
      <c r="R46" s="1086">
        <v>0</v>
      </c>
      <c r="S46" s="1086">
        <v>0</v>
      </c>
      <c r="T46" s="1086">
        <v>54566.74</v>
      </c>
      <c r="U46" s="1086">
        <v>32267.41</v>
      </c>
      <c r="V46" s="1086">
        <v>0</v>
      </c>
      <c r="W46" s="1086">
        <v>601</v>
      </c>
      <c r="X46" s="1086">
        <v>76742.33</v>
      </c>
      <c r="Y46" s="1086">
        <v>0</v>
      </c>
      <c r="Z46" s="1086">
        <v>0</v>
      </c>
      <c r="AA46" s="1086">
        <v>0</v>
      </c>
      <c r="AB46" s="1086">
        <v>0</v>
      </c>
      <c r="AC46" s="1086">
        <v>-568919.41</v>
      </c>
      <c r="AD46" s="1103" t="s">
        <v>608</v>
      </c>
      <c r="AE46" s="1086" t="s">
        <v>3878</v>
      </c>
      <c r="AF46" s="1086">
        <f t="shared" si="0"/>
        <v>-568919.40999999992</v>
      </c>
      <c r="AG46" s="1086">
        <f t="shared" si="2"/>
        <v>0</v>
      </c>
      <c r="AQ46" s="1086">
        <v>0</v>
      </c>
      <c r="AR46" s="1086">
        <v>0</v>
      </c>
      <c r="AS46" s="1086">
        <v>-568919.41</v>
      </c>
      <c r="AT46" s="1086">
        <f t="shared" si="1"/>
        <v>0</v>
      </c>
      <c r="AV46" s="1150">
        <f t="shared" si="3"/>
        <v>326875.83999999997</v>
      </c>
    </row>
    <row r="47" spans="1:48" x14ac:dyDescent="0.2">
      <c r="A47" s="19">
        <v>42</v>
      </c>
      <c r="B47" t="s">
        <v>1347</v>
      </c>
      <c r="C47" t="s">
        <v>1290</v>
      </c>
      <c r="D47" t="s">
        <v>1060</v>
      </c>
      <c r="E47" t="s">
        <v>2103</v>
      </c>
      <c r="F47" t="s">
        <v>2303</v>
      </c>
      <c r="G47" t="s">
        <v>1257</v>
      </c>
      <c r="H47" t="s">
        <v>3826</v>
      </c>
      <c r="I47">
        <v>2221</v>
      </c>
      <c r="J47" t="s">
        <v>3294</v>
      </c>
      <c r="K47" t="s">
        <v>3295</v>
      </c>
      <c r="L47" t="s">
        <v>2519</v>
      </c>
      <c r="M47" s="1086">
        <v>379442.08</v>
      </c>
      <c r="N47" s="1086">
        <v>468948.17</v>
      </c>
      <c r="O47" s="1086">
        <v>220000</v>
      </c>
      <c r="P47" s="1086">
        <v>182964.6</v>
      </c>
      <c r="Q47" s="1086">
        <v>12500</v>
      </c>
      <c r="R47" s="1086">
        <v>38566.35</v>
      </c>
      <c r="S47" s="1086">
        <v>118782.56</v>
      </c>
      <c r="T47" s="1086">
        <v>75276.72</v>
      </c>
      <c r="U47" s="1086">
        <v>42315.88</v>
      </c>
      <c r="V47" s="1086">
        <v>6143</v>
      </c>
      <c r="W47" s="1086">
        <v>467.09</v>
      </c>
      <c r="X47" s="1086">
        <v>2382.52</v>
      </c>
      <c r="Y47" s="1086">
        <v>0</v>
      </c>
      <c r="Z47" s="1086">
        <v>0</v>
      </c>
      <c r="AA47" s="1086">
        <v>16223.39</v>
      </c>
      <c r="AB47" s="1086">
        <v>0</v>
      </c>
      <c r="AC47" s="1086">
        <v>572768.14</v>
      </c>
      <c r="AD47" s="1086" t="s">
        <v>248</v>
      </c>
      <c r="AE47" s="1086" t="s">
        <v>3877</v>
      </c>
      <c r="AF47" s="1086">
        <f t="shared" si="0"/>
        <v>572768.1399999999</v>
      </c>
      <c r="AG47" s="1086">
        <f t="shared" si="2"/>
        <v>0</v>
      </c>
      <c r="AQ47" s="1086">
        <v>0</v>
      </c>
      <c r="AR47" s="1086">
        <v>0</v>
      </c>
      <c r="AS47" s="1086">
        <v>572768.14</v>
      </c>
      <c r="AT47" s="1086">
        <f t="shared" si="1"/>
        <v>0</v>
      </c>
      <c r="AV47" s="1150">
        <f t="shared" si="3"/>
        <v>495622.11000000004</v>
      </c>
    </row>
    <row r="48" spans="1:48" x14ac:dyDescent="0.2">
      <c r="A48" s="19">
        <v>43</v>
      </c>
      <c r="B48" t="s">
        <v>1348</v>
      </c>
      <c r="C48" t="s">
        <v>1290</v>
      </c>
      <c r="D48" t="s">
        <v>1027</v>
      </c>
      <c r="E48" t="s">
        <v>2104</v>
      </c>
      <c r="F48" t="s">
        <v>2304</v>
      </c>
      <c r="G48" t="s">
        <v>1254</v>
      </c>
      <c r="H48" t="s">
        <v>3823</v>
      </c>
      <c r="I48" t="s">
        <v>3839</v>
      </c>
      <c r="J48" t="s">
        <v>3246</v>
      </c>
      <c r="K48" t="s">
        <v>3296</v>
      </c>
      <c r="L48" t="s">
        <v>2520</v>
      </c>
      <c r="M48" s="1086">
        <v>94840.53</v>
      </c>
      <c r="N48" s="1086">
        <v>20603.939999999999</v>
      </c>
      <c r="O48" s="1086">
        <v>45925</v>
      </c>
      <c r="P48" s="1086">
        <v>45798.21</v>
      </c>
      <c r="Q48" s="1086">
        <v>0</v>
      </c>
      <c r="R48" s="1086">
        <v>0</v>
      </c>
      <c r="S48" s="1086">
        <v>28784.5</v>
      </c>
      <c r="T48" s="1086">
        <v>1915.69</v>
      </c>
      <c r="U48" s="1086">
        <v>53068.14</v>
      </c>
      <c r="V48" s="1086">
        <v>0</v>
      </c>
      <c r="W48" s="1086">
        <v>0</v>
      </c>
      <c r="X48" s="1086">
        <v>1707.84</v>
      </c>
      <c r="Y48" s="1086">
        <v>-200528.35</v>
      </c>
      <c r="Z48" s="1086">
        <v>0</v>
      </c>
      <c r="AA48" s="1086">
        <v>740.83</v>
      </c>
      <c r="AB48" s="1086">
        <v>0</v>
      </c>
      <c r="AC48" s="1086">
        <v>229882.61</v>
      </c>
      <c r="AD48" s="1086" t="s">
        <v>248</v>
      </c>
      <c r="AE48" s="1086" t="s">
        <v>3877</v>
      </c>
      <c r="AF48" s="1086">
        <f t="shared" si="0"/>
        <v>229882.61</v>
      </c>
      <c r="AG48" s="1086">
        <f t="shared" si="2"/>
        <v>0</v>
      </c>
      <c r="AQ48" s="1086">
        <v>0</v>
      </c>
      <c r="AR48" s="1086">
        <v>0</v>
      </c>
      <c r="AS48" s="1086">
        <v>229882.61000000002</v>
      </c>
      <c r="AT48" s="1086">
        <f t="shared" si="1"/>
        <v>0</v>
      </c>
      <c r="AV48" s="1150">
        <f t="shared" si="3"/>
        <v>-68513.14</v>
      </c>
    </row>
    <row r="49" spans="1:48" x14ac:dyDescent="0.2">
      <c r="A49" s="19">
        <v>44</v>
      </c>
      <c r="B49" t="s">
        <v>1349</v>
      </c>
      <c r="C49" t="s">
        <v>1290</v>
      </c>
      <c r="D49" t="s">
        <v>1040</v>
      </c>
      <c r="E49" t="s">
        <v>2105</v>
      </c>
      <c r="F49" t="s">
        <v>2305</v>
      </c>
      <c r="G49" t="s">
        <v>1257</v>
      </c>
      <c r="H49" t="s">
        <v>3826</v>
      </c>
      <c r="I49" t="s">
        <v>3839</v>
      </c>
      <c r="J49" t="s">
        <v>3297</v>
      </c>
      <c r="K49" t="s">
        <v>3298</v>
      </c>
      <c r="L49" t="s">
        <v>2521</v>
      </c>
      <c r="M49" s="1086">
        <v>144668.46</v>
      </c>
      <c r="N49" s="1086">
        <v>376918.71</v>
      </c>
      <c r="O49" s="1086">
        <v>30000</v>
      </c>
      <c r="P49" s="1086">
        <v>20135.87</v>
      </c>
      <c r="Q49" s="1086">
        <v>0</v>
      </c>
      <c r="R49" s="1086">
        <v>0</v>
      </c>
      <c r="S49" s="1086">
        <v>117638.61</v>
      </c>
      <c r="T49" s="1086">
        <v>2479.81</v>
      </c>
      <c r="U49" s="1086">
        <v>255910</v>
      </c>
      <c r="V49" s="1086">
        <v>0</v>
      </c>
      <c r="W49" s="1086">
        <v>31551.82</v>
      </c>
      <c r="X49" s="1086">
        <v>65389.43</v>
      </c>
      <c r="Y49" s="1086">
        <v>0</v>
      </c>
      <c r="Z49" s="1086">
        <v>0</v>
      </c>
      <c r="AA49" s="1086">
        <v>17396.91</v>
      </c>
      <c r="AB49" s="1086">
        <v>0</v>
      </c>
      <c r="AC49" s="1086">
        <v>41084.720000000001</v>
      </c>
      <c r="AD49" s="1086" t="s">
        <v>248</v>
      </c>
      <c r="AE49" s="1086" t="s">
        <v>3877</v>
      </c>
      <c r="AF49" s="1086">
        <f t="shared" si="0"/>
        <v>41084.72000000003</v>
      </c>
      <c r="AG49" s="1086">
        <f t="shared" si="2"/>
        <v>0</v>
      </c>
      <c r="AQ49" s="1086">
        <v>0</v>
      </c>
      <c r="AR49" s="1086">
        <v>0</v>
      </c>
      <c r="AS49" s="1086">
        <v>41084.720000000001</v>
      </c>
      <c r="AT49" s="1086">
        <f t="shared" si="1"/>
        <v>0</v>
      </c>
      <c r="AV49" s="1150">
        <f t="shared" si="3"/>
        <v>510502.45</v>
      </c>
    </row>
    <row r="50" spans="1:48" x14ac:dyDescent="0.2">
      <c r="A50" s="19">
        <v>45</v>
      </c>
      <c r="B50" t="s">
        <v>1350</v>
      </c>
      <c r="C50" t="s">
        <v>1290</v>
      </c>
      <c r="D50" t="s">
        <v>1040</v>
      </c>
      <c r="E50" t="s">
        <v>2105</v>
      </c>
      <c r="F50" t="s">
        <v>2305</v>
      </c>
      <c r="G50" t="s">
        <v>1257</v>
      </c>
      <c r="H50" t="s">
        <v>3826</v>
      </c>
      <c r="I50">
        <v>2221</v>
      </c>
      <c r="J50" t="s">
        <v>3297</v>
      </c>
      <c r="K50">
        <v>6791</v>
      </c>
      <c r="L50" t="s">
        <v>2522</v>
      </c>
      <c r="M50" s="1086">
        <v>45529.39</v>
      </c>
      <c r="N50" s="1086">
        <v>0</v>
      </c>
      <c r="O50" s="1086">
        <v>6000</v>
      </c>
      <c r="P50" s="1086">
        <v>9950</v>
      </c>
      <c r="Q50" s="1086">
        <v>0</v>
      </c>
      <c r="R50" s="1086">
        <v>0</v>
      </c>
      <c r="S50" s="1086">
        <v>1992</v>
      </c>
      <c r="T50" s="1086">
        <v>4056.43</v>
      </c>
      <c r="U50" s="1086">
        <v>-12144.07</v>
      </c>
      <c r="V50" s="1086">
        <v>27.27</v>
      </c>
      <c r="W50" s="1086">
        <v>0</v>
      </c>
      <c r="X50" s="1086">
        <v>115.25</v>
      </c>
      <c r="Y50" s="1086">
        <v>0</v>
      </c>
      <c r="Z50" s="1086">
        <v>0</v>
      </c>
      <c r="AA50" s="1086">
        <v>0</v>
      </c>
      <c r="AB50" s="1086">
        <v>0</v>
      </c>
      <c r="AC50" s="1086">
        <v>47532.51</v>
      </c>
      <c r="AD50" s="1086" t="s">
        <v>248</v>
      </c>
      <c r="AE50" s="1086" t="s">
        <v>3877</v>
      </c>
      <c r="AF50" s="1086">
        <f t="shared" si="0"/>
        <v>47532.51</v>
      </c>
      <c r="AG50" s="1086">
        <f t="shared" si="2"/>
        <v>0</v>
      </c>
      <c r="AQ50" s="1086">
        <v>0</v>
      </c>
      <c r="AR50" s="1086">
        <v>0</v>
      </c>
      <c r="AS50" s="1086">
        <v>47532.51</v>
      </c>
      <c r="AT50" s="1086">
        <f t="shared" si="1"/>
        <v>0</v>
      </c>
      <c r="AV50" s="1150">
        <f t="shared" si="3"/>
        <v>3996.8800000000006</v>
      </c>
    </row>
    <row r="51" spans="1:48" x14ac:dyDescent="0.2">
      <c r="A51" s="19">
        <v>46</v>
      </c>
      <c r="B51" t="s">
        <v>1351</v>
      </c>
      <c r="C51" t="s">
        <v>1290</v>
      </c>
      <c r="D51" t="s">
        <v>1047</v>
      </c>
      <c r="E51" t="s">
        <v>2106</v>
      </c>
      <c r="F51" t="s">
        <v>2479</v>
      </c>
      <c r="G51" t="s">
        <v>608</v>
      </c>
      <c r="H51" t="s">
        <v>3826</v>
      </c>
      <c r="I51" t="s">
        <v>3840</v>
      </c>
      <c r="J51" t="s">
        <v>3260</v>
      </c>
      <c r="K51" t="s">
        <v>3299</v>
      </c>
      <c r="L51" t="s">
        <v>2523</v>
      </c>
      <c r="M51" s="1086">
        <v>-259447.98</v>
      </c>
      <c r="N51" s="1086">
        <v>354651.15</v>
      </c>
      <c r="O51" s="1086">
        <v>0</v>
      </c>
      <c r="P51" s="1086">
        <v>334675.69</v>
      </c>
      <c r="Q51" s="1086">
        <v>0</v>
      </c>
      <c r="R51" s="1086">
        <v>0</v>
      </c>
      <c r="S51" s="1086">
        <v>18565</v>
      </c>
      <c r="T51" s="1086">
        <v>77656.649999999994</v>
      </c>
      <c r="U51" s="1086">
        <v>129337.58</v>
      </c>
      <c r="V51" s="1086">
        <v>0</v>
      </c>
      <c r="W51" s="1086">
        <v>25181.14</v>
      </c>
      <c r="X51" s="1086">
        <v>135531.93</v>
      </c>
      <c r="Y51" s="1086">
        <v>0</v>
      </c>
      <c r="Z51" s="1086">
        <v>0</v>
      </c>
      <c r="AA51" s="1086">
        <v>0</v>
      </c>
      <c r="AB51" s="1086">
        <v>0</v>
      </c>
      <c r="AC51" s="1086">
        <v>-625744.81999999995</v>
      </c>
      <c r="AD51" s="1103" t="s">
        <v>608</v>
      </c>
      <c r="AE51" s="1086" t="s">
        <v>3878</v>
      </c>
      <c r="AF51" s="1086">
        <f t="shared" si="0"/>
        <v>-625744.81999999995</v>
      </c>
      <c r="AG51" s="1086">
        <f t="shared" si="2"/>
        <v>0</v>
      </c>
      <c r="AQ51" s="1086">
        <v>0</v>
      </c>
      <c r="AR51" s="1086">
        <v>0</v>
      </c>
      <c r="AS51" s="1086">
        <v>-625744.81999999995</v>
      </c>
      <c r="AT51" s="1086">
        <f t="shared" si="1"/>
        <v>0</v>
      </c>
      <c r="AV51" s="1150">
        <f t="shared" si="3"/>
        <v>720947.99</v>
      </c>
    </row>
    <row r="52" spans="1:48" x14ac:dyDescent="0.2">
      <c r="A52" s="19">
        <v>47</v>
      </c>
      <c r="B52" t="s">
        <v>1352</v>
      </c>
      <c r="C52" t="s">
        <v>1290</v>
      </c>
      <c r="D52" t="s">
        <v>1047</v>
      </c>
      <c r="E52" t="s">
        <v>2106</v>
      </c>
      <c r="F52" t="s">
        <v>2479</v>
      </c>
      <c r="G52" t="s">
        <v>608</v>
      </c>
      <c r="H52" t="s">
        <v>3826</v>
      </c>
      <c r="I52" t="s">
        <v>3840</v>
      </c>
      <c r="J52" t="s">
        <v>3260</v>
      </c>
      <c r="K52" t="s">
        <v>3300</v>
      </c>
      <c r="L52" t="s">
        <v>2524</v>
      </c>
      <c r="M52" s="1086">
        <v>-169241.19</v>
      </c>
      <c r="N52" s="1086">
        <v>2971.36</v>
      </c>
      <c r="O52" s="1086">
        <v>0</v>
      </c>
      <c r="P52" s="1086">
        <v>95136.16</v>
      </c>
      <c r="Q52" s="1086">
        <v>0</v>
      </c>
      <c r="R52" s="1086">
        <v>0</v>
      </c>
      <c r="S52" s="1086">
        <v>0</v>
      </c>
      <c r="T52" s="1086">
        <v>32753.75</v>
      </c>
      <c r="U52" s="1086">
        <v>19101.400000000001</v>
      </c>
      <c r="V52" s="1086">
        <v>0</v>
      </c>
      <c r="W52" s="1086">
        <v>447.1</v>
      </c>
      <c r="X52" s="1086">
        <v>32369.65</v>
      </c>
      <c r="Y52" s="1086">
        <v>0</v>
      </c>
      <c r="Z52" s="1086">
        <v>0</v>
      </c>
      <c r="AA52" s="1086">
        <v>0</v>
      </c>
      <c r="AB52" s="1086">
        <v>0</v>
      </c>
      <c r="AC52" s="1086">
        <v>-346077.89</v>
      </c>
      <c r="AD52" s="1103" t="s">
        <v>608</v>
      </c>
      <c r="AE52" s="1086" t="s">
        <v>3878</v>
      </c>
      <c r="AF52" s="1086">
        <f t="shared" si="0"/>
        <v>-346077.89</v>
      </c>
      <c r="AG52" s="1086">
        <f t="shared" si="2"/>
        <v>0</v>
      </c>
      <c r="AQ52" s="1086">
        <v>0</v>
      </c>
      <c r="AR52" s="1086">
        <v>0</v>
      </c>
      <c r="AS52" s="1086">
        <v>-346092.45</v>
      </c>
      <c r="AT52" s="1086">
        <f t="shared" si="1"/>
        <v>14.559999999997672</v>
      </c>
      <c r="AU52" s="167" t="s">
        <v>3912</v>
      </c>
      <c r="AV52" s="1150">
        <f t="shared" si="3"/>
        <v>179808.06</v>
      </c>
    </row>
    <row r="53" spans="1:48" x14ac:dyDescent="0.2">
      <c r="A53" s="19">
        <v>48</v>
      </c>
      <c r="B53" t="s">
        <v>1353</v>
      </c>
      <c r="C53" t="s">
        <v>1290</v>
      </c>
      <c r="D53" t="s">
        <v>1047</v>
      </c>
      <c r="E53" t="s">
        <v>2106</v>
      </c>
      <c r="F53" t="s">
        <v>2479</v>
      </c>
      <c r="G53" t="s">
        <v>608</v>
      </c>
      <c r="H53" t="s">
        <v>3826</v>
      </c>
      <c r="I53" t="s">
        <v>3840</v>
      </c>
      <c r="J53" t="s">
        <v>3260</v>
      </c>
      <c r="K53" t="s">
        <v>3301</v>
      </c>
      <c r="L53" t="s">
        <v>2525</v>
      </c>
      <c r="M53" s="1086">
        <v>-653860.17000000004</v>
      </c>
      <c r="N53" s="1086">
        <v>76451.8</v>
      </c>
      <c r="O53" s="1086">
        <v>0</v>
      </c>
      <c r="P53" s="1086">
        <v>309292.18</v>
      </c>
      <c r="Q53" s="1086">
        <v>0</v>
      </c>
      <c r="R53" s="1086">
        <v>0</v>
      </c>
      <c r="S53" s="1086">
        <v>0</v>
      </c>
      <c r="T53" s="1086">
        <v>84960.41</v>
      </c>
      <c r="U53" s="1086">
        <v>161914.13</v>
      </c>
      <c r="V53" s="1086">
        <v>0</v>
      </c>
      <c r="W53" s="1086">
        <v>1049.8699999999999</v>
      </c>
      <c r="X53" s="1086">
        <v>198500.85</v>
      </c>
      <c r="Y53" s="1086">
        <v>0</v>
      </c>
      <c r="Z53" s="1086">
        <v>4458</v>
      </c>
      <c r="AA53" s="1086">
        <v>0</v>
      </c>
      <c r="AB53" s="1086">
        <v>0</v>
      </c>
      <c r="AC53" s="1086">
        <v>-1337583.81</v>
      </c>
      <c r="AD53" s="1103" t="s">
        <v>608</v>
      </c>
      <c r="AE53" s="1086" t="s">
        <v>3878</v>
      </c>
      <c r="AF53" s="1086">
        <f t="shared" si="0"/>
        <v>-1337583.81</v>
      </c>
      <c r="AG53" s="1086">
        <f t="shared" si="2"/>
        <v>0</v>
      </c>
      <c r="AQ53" s="1086">
        <v>0</v>
      </c>
      <c r="AR53" s="1086">
        <v>0</v>
      </c>
      <c r="AS53" s="1086">
        <v>-1337583.81</v>
      </c>
      <c r="AT53" s="1086">
        <f t="shared" si="1"/>
        <v>0</v>
      </c>
      <c r="AV53" s="1150">
        <f t="shared" si="3"/>
        <v>760175.44</v>
      </c>
    </row>
    <row r="54" spans="1:48" x14ac:dyDescent="0.2">
      <c r="A54" s="19">
        <v>49</v>
      </c>
      <c r="B54" t="s">
        <v>1354</v>
      </c>
      <c r="C54" t="s">
        <v>1290</v>
      </c>
      <c r="D54" t="s">
        <v>1047</v>
      </c>
      <c r="E54" t="s">
        <v>2106</v>
      </c>
      <c r="F54" t="s">
        <v>2479</v>
      </c>
      <c r="G54" t="s">
        <v>608</v>
      </c>
      <c r="H54" t="s">
        <v>3826</v>
      </c>
      <c r="I54" t="s">
        <v>3840</v>
      </c>
      <c r="J54" t="s">
        <v>3260</v>
      </c>
      <c r="K54" t="s">
        <v>3302</v>
      </c>
      <c r="L54" t="s">
        <v>2526</v>
      </c>
      <c r="M54" s="1086">
        <v>-273138.68</v>
      </c>
      <c r="N54" s="1086">
        <v>9973</v>
      </c>
      <c r="O54" s="1086">
        <v>0</v>
      </c>
      <c r="P54" s="1086">
        <v>109857.33</v>
      </c>
      <c r="Q54" s="1086">
        <v>0</v>
      </c>
      <c r="R54" s="1086">
        <v>0</v>
      </c>
      <c r="S54" s="1086">
        <v>0</v>
      </c>
      <c r="T54" s="1086">
        <v>36247.599999999999</v>
      </c>
      <c r="U54" s="1086">
        <v>35963.31</v>
      </c>
      <c r="V54" s="1086">
        <v>0</v>
      </c>
      <c r="W54" s="1086">
        <v>539.4</v>
      </c>
      <c r="X54" s="1086">
        <v>80818.09</v>
      </c>
      <c r="Y54" s="1086">
        <v>0</v>
      </c>
      <c r="Z54" s="1086">
        <v>0</v>
      </c>
      <c r="AA54" s="1086">
        <v>0</v>
      </c>
      <c r="AB54" s="1086">
        <v>0</v>
      </c>
      <c r="AC54" s="1086">
        <v>-526591.41</v>
      </c>
      <c r="AD54" s="1103" t="s">
        <v>608</v>
      </c>
      <c r="AE54" s="1086" t="s">
        <v>3878</v>
      </c>
      <c r="AF54" s="1086">
        <f t="shared" si="0"/>
        <v>-526591.40999999992</v>
      </c>
      <c r="AG54" s="1086">
        <f t="shared" si="2"/>
        <v>0</v>
      </c>
      <c r="AQ54" s="1086">
        <v>0</v>
      </c>
      <c r="AR54" s="1086">
        <v>0</v>
      </c>
      <c r="AS54" s="1086">
        <v>-526591.41</v>
      </c>
      <c r="AT54" s="1086">
        <f t="shared" si="1"/>
        <v>0</v>
      </c>
      <c r="AV54" s="1150">
        <f t="shared" si="3"/>
        <v>263425.73</v>
      </c>
    </row>
    <row r="55" spans="1:48" x14ac:dyDescent="0.2">
      <c r="A55" s="19">
        <v>50</v>
      </c>
      <c r="B55" t="s">
        <v>1355</v>
      </c>
      <c r="C55" t="s">
        <v>1290</v>
      </c>
      <c r="D55" t="s">
        <v>1047</v>
      </c>
      <c r="E55" t="s">
        <v>2106</v>
      </c>
      <c r="F55" t="s">
        <v>2479</v>
      </c>
      <c r="G55" t="s">
        <v>608</v>
      </c>
      <c r="H55" t="s">
        <v>3826</v>
      </c>
      <c r="I55" t="s">
        <v>3840</v>
      </c>
      <c r="J55" t="s">
        <v>3260</v>
      </c>
      <c r="K55" t="s">
        <v>3303</v>
      </c>
      <c r="L55" t="s">
        <v>2527</v>
      </c>
      <c r="M55" s="1086">
        <v>-305296.74</v>
      </c>
      <c r="N55" s="1086">
        <v>11968.87</v>
      </c>
      <c r="O55" s="1086">
        <v>0</v>
      </c>
      <c r="P55" s="1086">
        <v>150273.5</v>
      </c>
      <c r="Q55" s="1086">
        <v>0</v>
      </c>
      <c r="R55" s="1086">
        <v>0</v>
      </c>
      <c r="S55" s="1086">
        <v>0</v>
      </c>
      <c r="T55" s="1086">
        <v>44515.08</v>
      </c>
      <c r="U55" s="1086">
        <v>46064.74</v>
      </c>
      <c r="V55" s="1086">
        <v>0</v>
      </c>
      <c r="W55" s="1086">
        <v>514.74</v>
      </c>
      <c r="X55" s="1086">
        <v>135557.01</v>
      </c>
      <c r="Y55" s="1086">
        <v>0</v>
      </c>
      <c r="Z55" s="1086">
        <v>0</v>
      </c>
      <c r="AA55" s="1086">
        <v>0</v>
      </c>
      <c r="AB55" s="1086">
        <v>0</v>
      </c>
      <c r="AC55" s="1086">
        <v>-670252.93999999994</v>
      </c>
      <c r="AD55" s="1103" t="s">
        <v>608</v>
      </c>
      <c r="AE55" s="1086" t="s">
        <v>3878</v>
      </c>
      <c r="AF55" s="1086">
        <f t="shared" si="0"/>
        <v>-670252.93999999994</v>
      </c>
      <c r="AG55" s="1086">
        <f t="shared" si="2"/>
        <v>0</v>
      </c>
      <c r="AQ55" s="1086">
        <v>0</v>
      </c>
      <c r="AR55" s="1086">
        <v>0</v>
      </c>
      <c r="AS55" s="1086">
        <v>-670252.93999999994</v>
      </c>
      <c r="AT55" s="1086">
        <f t="shared" si="1"/>
        <v>0</v>
      </c>
      <c r="AV55" s="1150">
        <f t="shared" si="3"/>
        <v>376925.07</v>
      </c>
    </row>
    <row r="56" spans="1:48" x14ac:dyDescent="0.2">
      <c r="A56" s="19">
        <v>51</v>
      </c>
      <c r="B56" t="s">
        <v>1356</v>
      </c>
      <c r="C56" t="s">
        <v>1290</v>
      </c>
      <c r="D56" t="s">
        <v>1041</v>
      </c>
      <c r="E56" t="s">
        <v>2107</v>
      </c>
      <c r="F56" t="s">
        <v>2306</v>
      </c>
      <c r="G56" t="s">
        <v>1250</v>
      </c>
      <c r="H56" t="s">
        <v>3823</v>
      </c>
      <c r="I56" t="s">
        <v>3839</v>
      </c>
      <c r="J56" t="s">
        <v>3255</v>
      </c>
      <c r="K56" t="s">
        <v>3304</v>
      </c>
      <c r="L56" t="s">
        <v>2528</v>
      </c>
      <c r="M56" s="1086">
        <v>324900.62</v>
      </c>
      <c r="N56" s="1086">
        <v>0</v>
      </c>
      <c r="O56" s="1086">
        <v>0</v>
      </c>
      <c r="P56" s="1086">
        <v>25094.95</v>
      </c>
      <c r="Q56" s="1086">
        <v>0</v>
      </c>
      <c r="R56" s="1086">
        <v>0</v>
      </c>
      <c r="S56" s="1086">
        <v>12042.5</v>
      </c>
      <c r="T56" s="1086">
        <v>3110.05</v>
      </c>
      <c r="U56" s="1086">
        <v>31779.13</v>
      </c>
      <c r="V56" s="1086">
        <v>0</v>
      </c>
      <c r="W56" s="1086">
        <v>0</v>
      </c>
      <c r="X56" s="1086">
        <v>23181.39</v>
      </c>
      <c r="Y56" s="1086">
        <v>0</v>
      </c>
      <c r="Z56" s="1086">
        <v>0</v>
      </c>
      <c r="AA56" s="1086">
        <v>0</v>
      </c>
      <c r="AB56" s="1086">
        <v>0</v>
      </c>
      <c r="AC56" s="1086">
        <v>229692.6</v>
      </c>
      <c r="AD56" s="1086" t="s">
        <v>248</v>
      </c>
      <c r="AE56" s="1086" t="s">
        <v>3877</v>
      </c>
      <c r="AF56" s="1086">
        <f t="shared" si="0"/>
        <v>229692.59999999998</v>
      </c>
      <c r="AG56" s="1086">
        <f t="shared" si="2"/>
        <v>0</v>
      </c>
      <c r="AQ56" s="1086">
        <v>0</v>
      </c>
      <c r="AR56" s="1086">
        <v>0</v>
      </c>
      <c r="AS56" s="1086">
        <v>229692.6</v>
      </c>
      <c r="AT56" s="1086">
        <f t="shared" si="1"/>
        <v>0</v>
      </c>
      <c r="AV56" s="1150">
        <f t="shared" si="3"/>
        <v>95208.02</v>
      </c>
    </row>
    <row r="57" spans="1:48" x14ac:dyDescent="0.2">
      <c r="A57" s="19">
        <v>52</v>
      </c>
      <c r="B57" t="s">
        <v>1357</v>
      </c>
      <c r="C57" t="s">
        <v>1290</v>
      </c>
      <c r="D57" t="s">
        <v>1041</v>
      </c>
      <c r="E57" t="s">
        <v>2107</v>
      </c>
      <c r="F57" t="s">
        <v>2306</v>
      </c>
      <c r="G57" t="s">
        <v>1250</v>
      </c>
      <c r="H57" t="s">
        <v>3823</v>
      </c>
      <c r="I57">
        <v>0</v>
      </c>
      <c r="L57" t="s">
        <v>2529</v>
      </c>
      <c r="M57" s="1086">
        <v>0</v>
      </c>
      <c r="N57" s="1086">
        <v>0</v>
      </c>
      <c r="O57" s="1086">
        <v>219.5</v>
      </c>
      <c r="P57" s="1086">
        <v>0</v>
      </c>
      <c r="Q57" s="1086">
        <v>0</v>
      </c>
      <c r="R57" s="1086">
        <v>0</v>
      </c>
      <c r="S57" s="1086">
        <v>0</v>
      </c>
      <c r="T57" s="1086">
        <v>0</v>
      </c>
      <c r="U57" s="1086">
        <v>219.5</v>
      </c>
      <c r="V57" s="1086">
        <v>0</v>
      </c>
      <c r="W57" s="1086">
        <v>0</v>
      </c>
      <c r="X57" s="1086">
        <v>0</v>
      </c>
      <c r="Y57" s="1086">
        <v>0</v>
      </c>
      <c r="Z57" s="1086">
        <v>0</v>
      </c>
      <c r="AA57" s="1086">
        <v>0</v>
      </c>
      <c r="AB57" s="1086">
        <v>0</v>
      </c>
      <c r="AC57" s="1086">
        <v>0</v>
      </c>
      <c r="AD57" s="1086" t="s">
        <v>248</v>
      </c>
      <c r="AE57" s="1086" t="s">
        <v>3877</v>
      </c>
      <c r="AF57" s="1086">
        <f t="shared" si="0"/>
        <v>0</v>
      </c>
      <c r="AG57" s="1086">
        <f t="shared" si="2"/>
        <v>0</v>
      </c>
      <c r="AQ57" s="1086">
        <v>0</v>
      </c>
      <c r="AR57" s="1086">
        <v>0</v>
      </c>
      <c r="AS57" s="1086">
        <v>0</v>
      </c>
      <c r="AT57" s="1086">
        <f t="shared" si="1"/>
        <v>0</v>
      </c>
      <c r="AV57" s="1150">
        <f t="shared" si="3"/>
        <v>219.5</v>
      </c>
    </row>
    <row r="58" spans="1:48" x14ac:dyDescent="0.2">
      <c r="A58" s="19">
        <v>53</v>
      </c>
      <c r="B58" t="s">
        <v>1358</v>
      </c>
      <c r="C58" t="s">
        <v>1290</v>
      </c>
      <c r="D58" t="s">
        <v>1047</v>
      </c>
      <c r="E58" t="s">
        <v>2108</v>
      </c>
      <c r="F58" t="s">
        <v>2479</v>
      </c>
      <c r="G58" t="s">
        <v>608</v>
      </c>
      <c r="H58" t="s">
        <v>3826</v>
      </c>
      <c r="I58" t="s">
        <v>3840</v>
      </c>
      <c r="J58" t="s">
        <v>3260</v>
      </c>
      <c r="K58" t="s">
        <v>3305</v>
      </c>
      <c r="L58" t="s">
        <v>2530</v>
      </c>
      <c r="M58" s="1086">
        <v>-1234174.6399999999</v>
      </c>
      <c r="N58" s="1086">
        <v>0</v>
      </c>
      <c r="O58" s="1086">
        <v>0</v>
      </c>
      <c r="P58" s="1086">
        <v>304736.45</v>
      </c>
      <c r="Q58" s="1086">
        <v>0</v>
      </c>
      <c r="R58" s="1086">
        <v>0</v>
      </c>
      <c r="S58" s="1086">
        <v>0</v>
      </c>
      <c r="T58" s="1086">
        <v>73577.87</v>
      </c>
      <c r="U58" s="1086">
        <v>950574.48</v>
      </c>
      <c r="V58" s="1086">
        <v>0</v>
      </c>
      <c r="W58" s="1086">
        <v>0</v>
      </c>
      <c r="X58" s="1086">
        <v>5006.53</v>
      </c>
      <c r="Y58" s="1086">
        <v>0</v>
      </c>
      <c r="Z58" s="1086">
        <v>0</v>
      </c>
      <c r="AA58" s="1086">
        <v>0</v>
      </c>
      <c r="AB58" s="1086">
        <v>0</v>
      </c>
      <c r="AC58" s="1086">
        <v>-2568069.9700000002</v>
      </c>
      <c r="AD58" s="1103" t="s">
        <v>608</v>
      </c>
      <c r="AE58" s="1086" t="s">
        <v>3878</v>
      </c>
      <c r="AF58" s="1086">
        <f t="shared" si="0"/>
        <v>-2568069.9699999997</v>
      </c>
      <c r="AG58" s="1086">
        <f t="shared" si="2"/>
        <v>0</v>
      </c>
      <c r="AQ58" s="1086">
        <v>0</v>
      </c>
      <c r="AR58" s="1086">
        <v>0</v>
      </c>
      <c r="AS58" s="1086">
        <v>-2568069.9700000002</v>
      </c>
      <c r="AT58" s="1086">
        <f t="shared" si="1"/>
        <v>0</v>
      </c>
      <c r="AV58" s="1150">
        <f t="shared" si="3"/>
        <v>1333895.33</v>
      </c>
    </row>
    <row r="59" spans="1:48" x14ac:dyDescent="0.2">
      <c r="A59" s="19">
        <v>54</v>
      </c>
      <c r="B59" t="s">
        <v>1359</v>
      </c>
      <c r="C59" t="s">
        <v>1290</v>
      </c>
      <c r="D59" t="s">
        <v>1047</v>
      </c>
      <c r="E59" t="s">
        <v>2108</v>
      </c>
      <c r="F59" t="s">
        <v>2479</v>
      </c>
      <c r="G59" t="s">
        <v>608</v>
      </c>
      <c r="H59" t="s">
        <v>3826</v>
      </c>
      <c r="I59" t="s">
        <v>3840</v>
      </c>
      <c r="J59" t="s">
        <v>3260</v>
      </c>
      <c r="K59" t="s">
        <v>3306</v>
      </c>
      <c r="L59" t="s">
        <v>2531</v>
      </c>
      <c r="M59" s="1086">
        <v>-610129.17000000004</v>
      </c>
      <c r="N59" s="1086">
        <v>96340</v>
      </c>
      <c r="O59" s="1086">
        <v>0</v>
      </c>
      <c r="P59" s="1086">
        <v>72302.899999999994</v>
      </c>
      <c r="Q59" s="1086">
        <v>0</v>
      </c>
      <c r="R59" s="1086">
        <v>0</v>
      </c>
      <c r="S59" s="1086">
        <v>462023.46</v>
      </c>
      <c r="T59" s="1086">
        <v>64277.15</v>
      </c>
      <c r="U59" s="1086">
        <v>40650.81</v>
      </c>
      <c r="V59" s="1086">
        <v>0</v>
      </c>
      <c r="W59" s="1086">
        <v>0</v>
      </c>
      <c r="X59" s="1086">
        <v>0</v>
      </c>
      <c r="Y59" s="1086">
        <v>0</v>
      </c>
      <c r="Z59" s="1086">
        <v>0</v>
      </c>
      <c r="AA59" s="1086">
        <v>0</v>
      </c>
      <c r="AB59" s="1086">
        <v>0</v>
      </c>
      <c r="AC59" s="1086">
        <v>-1153043.49</v>
      </c>
      <c r="AD59" s="1103" t="s">
        <v>608</v>
      </c>
      <c r="AE59" s="1086" t="s">
        <v>3878</v>
      </c>
      <c r="AF59" s="1086">
        <f t="shared" si="0"/>
        <v>-1153043.4900000002</v>
      </c>
      <c r="AG59" s="1086">
        <f t="shared" si="2"/>
        <v>0</v>
      </c>
      <c r="AQ59" s="1086">
        <v>0</v>
      </c>
      <c r="AR59" s="1086">
        <v>0</v>
      </c>
      <c r="AS59" s="1086">
        <v>-1153043.49</v>
      </c>
      <c r="AT59" s="1086">
        <f t="shared" si="1"/>
        <v>0</v>
      </c>
      <c r="AV59" s="1150">
        <f t="shared" si="3"/>
        <v>639254.32000000007</v>
      </c>
    </row>
    <row r="60" spans="1:48" x14ac:dyDescent="0.2">
      <c r="A60" s="19">
        <v>55</v>
      </c>
      <c r="B60" t="s">
        <v>1360</v>
      </c>
      <c r="C60" t="s">
        <v>1290</v>
      </c>
      <c r="D60" t="s">
        <v>1047</v>
      </c>
      <c r="E60" t="s">
        <v>2108</v>
      </c>
      <c r="F60" t="s">
        <v>2479</v>
      </c>
      <c r="G60" t="s">
        <v>608</v>
      </c>
      <c r="H60" t="s">
        <v>3826</v>
      </c>
      <c r="I60" t="s">
        <v>3840</v>
      </c>
      <c r="J60" t="s">
        <v>3260</v>
      </c>
      <c r="K60" t="s">
        <v>3307</v>
      </c>
      <c r="L60" t="s">
        <v>2532</v>
      </c>
      <c r="M60" s="1086">
        <v>-216950.57</v>
      </c>
      <c r="N60" s="1086">
        <v>0</v>
      </c>
      <c r="O60" s="1086">
        <v>0</v>
      </c>
      <c r="P60" s="1086">
        <v>74905.59</v>
      </c>
      <c r="Q60" s="1086">
        <v>0</v>
      </c>
      <c r="R60" s="1086">
        <v>0</v>
      </c>
      <c r="S60" s="1086">
        <v>0</v>
      </c>
      <c r="T60" s="1086">
        <v>28516.49</v>
      </c>
      <c r="U60" s="1086">
        <v>44120.4</v>
      </c>
      <c r="V60" s="1086">
        <v>0</v>
      </c>
      <c r="W60" s="1086">
        <v>0</v>
      </c>
      <c r="X60" s="1086">
        <v>1745</v>
      </c>
      <c r="Y60" s="1086">
        <v>0</v>
      </c>
      <c r="Z60" s="1086">
        <v>0</v>
      </c>
      <c r="AA60" s="1086">
        <v>0</v>
      </c>
      <c r="AB60" s="1086">
        <v>0</v>
      </c>
      <c r="AC60" s="1086">
        <v>-366238.05</v>
      </c>
      <c r="AD60" s="1103" t="s">
        <v>608</v>
      </c>
      <c r="AE60" s="1086" t="s">
        <v>3878</v>
      </c>
      <c r="AF60" s="1086">
        <f t="shared" si="0"/>
        <v>-366238.05000000005</v>
      </c>
      <c r="AG60" s="1086">
        <f t="shared" si="2"/>
        <v>0</v>
      </c>
      <c r="AQ60" s="1086">
        <v>0</v>
      </c>
      <c r="AR60" s="1086">
        <v>0</v>
      </c>
      <c r="AS60" s="1086">
        <v>-366238.05</v>
      </c>
      <c r="AT60" s="1086">
        <f t="shared" si="1"/>
        <v>0</v>
      </c>
      <c r="AV60" s="1150">
        <f t="shared" si="3"/>
        <v>149287.48000000001</v>
      </c>
    </row>
    <row r="61" spans="1:48" x14ac:dyDescent="0.2">
      <c r="A61" s="19">
        <v>56</v>
      </c>
      <c r="B61" t="s">
        <v>1361</v>
      </c>
      <c r="C61" t="s">
        <v>1290</v>
      </c>
      <c r="D61" t="s">
        <v>1047</v>
      </c>
      <c r="E61" t="s">
        <v>2108</v>
      </c>
      <c r="F61" t="s">
        <v>2479</v>
      </c>
      <c r="G61" t="s">
        <v>608</v>
      </c>
      <c r="H61" t="s">
        <v>3826</v>
      </c>
      <c r="I61" t="s">
        <v>3840</v>
      </c>
      <c r="J61" t="s">
        <v>3260</v>
      </c>
      <c r="K61" t="s">
        <v>3308</v>
      </c>
      <c r="L61" t="s">
        <v>2533</v>
      </c>
      <c r="M61" s="1086">
        <v>-102009.62</v>
      </c>
      <c r="N61" s="1086">
        <v>0</v>
      </c>
      <c r="O61" s="1086">
        <v>0</v>
      </c>
      <c r="P61" s="1086">
        <v>30280.32</v>
      </c>
      <c r="Q61" s="1086">
        <v>0</v>
      </c>
      <c r="R61" s="1086">
        <v>0</v>
      </c>
      <c r="S61" s="1086">
        <v>19913</v>
      </c>
      <c r="T61" s="1086">
        <v>13068.88</v>
      </c>
      <c r="U61" s="1086">
        <v>27878.83</v>
      </c>
      <c r="V61" s="1086">
        <v>0</v>
      </c>
      <c r="W61" s="1086">
        <v>0</v>
      </c>
      <c r="X61" s="1086">
        <v>0</v>
      </c>
      <c r="Y61" s="1086">
        <v>0</v>
      </c>
      <c r="Z61" s="1086">
        <v>0</v>
      </c>
      <c r="AA61" s="1086">
        <v>0</v>
      </c>
      <c r="AB61" s="1086">
        <v>0</v>
      </c>
      <c r="AC61" s="1086">
        <v>-193150.65</v>
      </c>
      <c r="AD61" s="1103" t="s">
        <v>608</v>
      </c>
      <c r="AE61" s="1086" t="s">
        <v>3878</v>
      </c>
      <c r="AF61" s="1086">
        <f t="shared" si="0"/>
        <v>-193150.65</v>
      </c>
      <c r="AG61" s="1086">
        <f t="shared" si="2"/>
        <v>0</v>
      </c>
      <c r="AQ61" s="1086">
        <v>0</v>
      </c>
      <c r="AR61" s="1086">
        <v>0</v>
      </c>
      <c r="AS61" s="1086">
        <v>-193150.65</v>
      </c>
      <c r="AT61" s="1086">
        <f t="shared" si="1"/>
        <v>0</v>
      </c>
      <c r="AV61" s="1150">
        <f t="shared" si="3"/>
        <v>91141.03</v>
      </c>
    </row>
    <row r="62" spans="1:48" x14ac:dyDescent="0.2">
      <c r="A62" s="19">
        <v>57</v>
      </c>
      <c r="B62" t="s">
        <v>1362</v>
      </c>
      <c r="C62" t="s">
        <v>1290</v>
      </c>
      <c r="D62" t="s">
        <v>1047</v>
      </c>
      <c r="E62" t="s">
        <v>2108</v>
      </c>
      <c r="F62" t="s">
        <v>2479</v>
      </c>
      <c r="G62" t="s">
        <v>608</v>
      </c>
      <c r="H62" t="s">
        <v>3826</v>
      </c>
      <c r="I62" t="s">
        <v>3840</v>
      </c>
      <c r="J62" t="s">
        <v>3260</v>
      </c>
      <c r="K62" t="s">
        <v>3309</v>
      </c>
      <c r="L62" t="s">
        <v>2534</v>
      </c>
      <c r="M62" s="1086">
        <v>-1089760.45</v>
      </c>
      <c r="N62" s="1086">
        <v>90849</v>
      </c>
      <c r="O62" s="1086">
        <v>0</v>
      </c>
      <c r="P62" s="1086">
        <v>42000.21</v>
      </c>
      <c r="Q62" s="1086">
        <v>0</v>
      </c>
      <c r="R62" s="1086">
        <v>0</v>
      </c>
      <c r="S62" s="1086">
        <v>140304.44</v>
      </c>
      <c r="T62" s="1086">
        <v>9524.82</v>
      </c>
      <c r="U62" s="1086">
        <v>1022066.94</v>
      </c>
      <c r="V62" s="1086">
        <v>0</v>
      </c>
      <c r="W62" s="1086">
        <v>0</v>
      </c>
      <c r="X62" s="1086">
        <v>0</v>
      </c>
      <c r="Y62" s="1086">
        <v>0</v>
      </c>
      <c r="Z62" s="1086">
        <v>0</v>
      </c>
      <c r="AA62" s="1086">
        <v>262.5</v>
      </c>
      <c r="AB62" s="1086">
        <v>0</v>
      </c>
      <c r="AC62" s="1086">
        <v>-2213070.36</v>
      </c>
      <c r="AD62" s="1103" t="s">
        <v>608</v>
      </c>
      <c r="AE62" s="1086" t="s">
        <v>3878</v>
      </c>
      <c r="AF62" s="1086">
        <f t="shared" si="0"/>
        <v>-2213070.36</v>
      </c>
      <c r="AG62" s="1086">
        <f t="shared" si="2"/>
        <v>0</v>
      </c>
      <c r="AQ62" s="1086">
        <v>0</v>
      </c>
      <c r="AR62" s="1086">
        <v>0</v>
      </c>
      <c r="AS62" s="1086">
        <v>-2213070.36</v>
      </c>
      <c r="AT62" s="1086">
        <f t="shared" si="1"/>
        <v>0</v>
      </c>
      <c r="AV62" s="1150">
        <f t="shared" si="3"/>
        <v>1214158.9099999999</v>
      </c>
    </row>
    <row r="63" spans="1:48" x14ac:dyDescent="0.2">
      <c r="A63" s="19">
        <v>58</v>
      </c>
      <c r="B63" t="s">
        <v>1363</v>
      </c>
      <c r="C63" t="s">
        <v>1290</v>
      </c>
      <c r="D63" t="s">
        <v>1047</v>
      </c>
      <c r="E63" t="s">
        <v>2109</v>
      </c>
      <c r="F63" t="s">
        <v>2479</v>
      </c>
      <c r="G63" t="s">
        <v>608</v>
      </c>
      <c r="H63" t="s">
        <v>3826</v>
      </c>
      <c r="I63" t="s">
        <v>3840</v>
      </c>
      <c r="J63" t="s">
        <v>3260</v>
      </c>
      <c r="K63" t="s">
        <v>3310</v>
      </c>
      <c r="L63" t="s">
        <v>2535</v>
      </c>
      <c r="M63" s="1086">
        <v>-14807.02</v>
      </c>
      <c r="N63" s="1086">
        <v>153109.04999999999</v>
      </c>
      <c r="O63" s="1086">
        <v>25000</v>
      </c>
      <c r="P63" s="1086">
        <v>74356.47</v>
      </c>
      <c r="Q63" s="1086">
        <v>0</v>
      </c>
      <c r="R63" s="1086">
        <v>0</v>
      </c>
      <c r="S63" s="1086">
        <v>0</v>
      </c>
      <c r="T63" s="1086">
        <v>2331.54</v>
      </c>
      <c r="U63" s="1086">
        <v>71057.06</v>
      </c>
      <c r="V63" s="1086">
        <v>0</v>
      </c>
      <c r="W63" s="1086">
        <v>355.43</v>
      </c>
      <c r="X63" s="1086">
        <v>53714.55</v>
      </c>
      <c r="Y63" s="1086">
        <v>0</v>
      </c>
      <c r="Z63" s="1086">
        <v>0</v>
      </c>
      <c r="AA63" s="1086">
        <v>0</v>
      </c>
      <c r="AB63" s="1086">
        <v>0</v>
      </c>
      <c r="AC63" s="1086">
        <v>-38513.019999999997</v>
      </c>
      <c r="AD63" s="1103" t="s">
        <v>608</v>
      </c>
      <c r="AE63" s="1086" t="s">
        <v>3878</v>
      </c>
      <c r="AF63" s="1086">
        <f t="shared" si="0"/>
        <v>-38513.01999999999</v>
      </c>
      <c r="AG63" s="1086">
        <f t="shared" si="2"/>
        <v>0</v>
      </c>
      <c r="AQ63" s="1086">
        <v>0</v>
      </c>
      <c r="AR63" s="1086">
        <v>0</v>
      </c>
      <c r="AS63" s="1086">
        <v>-38513.019999999997</v>
      </c>
      <c r="AT63" s="1086">
        <f t="shared" si="1"/>
        <v>0</v>
      </c>
      <c r="AV63" s="1150">
        <f t="shared" si="3"/>
        <v>201815.05</v>
      </c>
    </row>
    <row r="64" spans="1:48" x14ac:dyDescent="0.2">
      <c r="A64" s="19">
        <v>59</v>
      </c>
      <c r="B64" t="s">
        <v>1364</v>
      </c>
      <c r="C64" t="s">
        <v>1290</v>
      </c>
      <c r="D64" t="s">
        <v>1047</v>
      </c>
      <c r="E64" t="s">
        <v>2109</v>
      </c>
      <c r="F64" t="s">
        <v>2479</v>
      </c>
      <c r="G64" t="s">
        <v>608</v>
      </c>
      <c r="H64" t="s">
        <v>3826</v>
      </c>
      <c r="I64" t="s">
        <v>3840</v>
      </c>
      <c r="J64" t="s">
        <v>3260</v>
      </c>
      <c r="K64" t="s">
        <v>3311</v>
      </c>
      <c r="L64" t="s">
        <v>2336</v>
      </c>
      <c r="M64" s="1086">
        <v>-14558.49</v>
      </c>
      <c r="N64" s="1086">
        <v>194063.84</v>
      </c>
      <c r="O64" s="1086">
        <v>25000</v>
      </c>
      <c r="P64" s="1086">
        <v>81054.17</v>
      </c>
      <c r="Q64" s="1086">
        <v>0</v>
      </c>
      <c r="R64" s="1086">
        <v>0</v>
      </c>
      <c r="S64" s="1086">
        <v>0</v>
      </c>
      <c r="T64" s="1086">
        <v>3930.48</v>
      </c>
      <c r="U64" s="1086">
        <v>112836.37</v>
      </c>
      <c r="V64" s="1086">
        <v>0</v>
      </c>
      <c r="W64" s="1086">
        <v>3462.87</v>
      </c>
      <c r="X64" s="1086">
        <v>28899.91</v>
      </c>
      <c r="Y64" s="1086">
        <v>0</v>
      </c>
      <c r="Z64" s="1086">
        <v>0</v>
      </c>
      <c r="AA64" s="1086">
        <v>0</v>
      </c>
      <c r="AB64" s="1086">
        <v>0</v>
      </c>
      <c r="AC64" s="1086">
        <v>-25678.45</v>
      </c>
      <c r="AD64" s="1103" t="s">
        <v>608</v>
      </c>
      <c r="AE64" s="1086" t="s">
        <v>3878</v>
      </c>
      <c r="AF64" s="1086">
        <f t="shared" si="0"/>
        <v>-25678.449999999983</v>
      </c>
      <c r="AG64" s="1086">
        <f t="shared" si="2"/>
        <v>0</v>
      </c>
      <c r="AQ64" s="1086">
        <v>0</v>
      </c>
      <c r="AR64" s="1086">
        <v>0</v>
      </c>
      <c r="AS64" s="1086">
        <v>-25678.45</v>
      </c>
      <c r="AT64" s="1086">
        <f t="shared" si="1"/>
        <v>0</v>
      </c>
      <c r="AV64" s="1150">
        <f t="shared" si="3"/>
        <v>230183.8</v>
      </c>
    </row>
    <row r="65" spans="1:48" x14ac:dyDescent="0.2">
      <c r="A65" s="19">
        <v>60</v>
      </c>
      <c r="B65" t="s">
        <v>1365</v>
      </c>
      <c r="C65" t="s">
        <v>1290</v>
      </c>
      <c r="D65" t="s">
        <v>1047</v>
      </c>
      <c r="E65" t="s">
        <v>2109</v>
      </c>
      <c r="F65" t="s">
        <v>2479</v>
      </c>
      <c r="G65" t="s">
        <v>608</v>
      </c>
      <c r="H65" t="s">
        <v>3826</v>
      </c>
      <c r="I65">
        <v>2202</v>
      </c>
      <c r="J65" t="s">
        <v>3260</v>
      </c>
      <c r="K65" t="s">
        <v>3312</v>
      </c>
      <c r="L65" t="s">
        <v>2536</v>
      </c>
      <c r="M65" s="1086">
        <v>3783.46</v>
      </c>
      <c r="N65" s="1086">
        <v>37931.57</v>
      </c>
      <c r="O65" s="1086">
        <v>4500</v>
      </c>
      <c r="P65" s="1086">
        <v>18904.490000000002</v>
      </c>
      <c r="Q65" s="1086">
        <v>0</v>
      </c>
      <c r="R65" s="1086">
        <v>0</v>
      </c>
      <c r="S65" s="1086">
        <v>0</v>
      </c>
      <c r="T65" s="1086">
        <v>589.80999999999995</v>
      </c>
      <c r="U65" s="1086">
        <v>26720.73</v>
      </c>
      <c r="V65" s="1086">
        <v>0</v>
      </c>
      <c r="W65" s="1086">
        <v>0</v>
      </c>
      <c r="X65" s="1086">
        <v>0</v>
      </c>
      <c r="Y65" s="1086">
        <v>0</v>
      </c>
      <c r="Z65" s="1086">
        <v>0</v>
      </c>
      <c r="AA65" s="1086">
        <v>0</v>
      </c>
      <c r="AB65" s="1086">
        <v>0</v>
      </c>
      <c r="AC65" s="1086">
        <v>0</v>
      </c>
      <c r="AD65" s="1103" t="s">
        <v>608</v>
      </c>
      <c r="AE65" s="1086" t="s">
        <v>3878</v>
      </c>
      <c r="AF65" s="1086">
        <f t="shared" si="0"/>
        <v>0</v>
      </c>
      <c r="AG65" s="1086">
        <f t="shared" si="2"/>
        <v>0</v>
      </c>
      <c r="AQ65" s="1086">
        <v>0</v>
      </c>
      <c r="AR65" s="1086">
        <v>0</v>
      </c>
      <c r="AS65" s="1086">
        <v>0</v>
      </c>
      <c r="AT65" s="1086">
        <f t="shared" si="1"/>
        <v>0</v>
      </c>
      <c r="AV65" s="1150">
        <f t="shared" si="3"/>
        <v>46215.03</v>
      </c>
    </row>
    <row r="66" spans="1:48" x14ac:dyDescent="0.2">
      <c r="A66" s="19">
        <v>61</v>
      </c>
      <c r="B66" t="s">
        <v>1366</v>
      </c>
      <c r="C66" t="s">
        <v>1290</v>
      </c>
      <c r="D66" t="s">
        <v>1058</v>
      </c>
      <c r="E66" t="s">
        <v>2110</v>
      </c>
      <c r="F66" t="s">
        <v>2307</v>
      </c>
      <c r="G66" t="s">
        <v>1250</v>
      </c>
      <c r="H66" t="s">
        <v>3824</v>
      </c>
      <c r="I66">
        <v>2104</v>
      </c>
      <c r="J66" t="s">
        <v>3313</v>
      </c>
      <c r="K66" t="s">
        <v>3314</v>
      </c>
      <c r="L66" t="s">
        <v>2537</v>
      </c>
      <c r="M66" s="1086">
        <v>85619.09</v>
      </c>
      <c r="N66" s="1086">
        <v>13298.32</v>
      </c>
      <c r="O66" s="1086">
        <v>0</v>
      </c>
      <c r="P66" s="1086">
        <v>33664.33</v>
      </c>
      <c r="Q66" s="1086">
        <v>0</v>
      </c>
      <c r="R66" s="1086">
        <v>0</v>
      </c>
      <c r="S66" s="1086">
        <v>0</v>
      </c>
      <c r="T66" s="1086">
        <v>2330.16</v>
      </c>
      <c r="U66" s="1086">
        <v>6723.53</v>
      </c>
      <c r="V66" s="1086">
        <v>0</v>
      </c>
      <c r="W66" s="1086">
        <v>587.49</v>
      </c>
      <c r="X66" s="1086">
        <v>308.86</v>
      </c>
      <c r="Y66" s="1086">
        <v>0</v>
      </c>
      <c r="Z66" s="1086">
        <v>0</v>
      </c>
      <c r="AA66" s="1086">
        <v>1837.81</v>
      </c>
      <c r="AB66" s="1086">
        <v>0</v>
      </c>
      <c r="AC66" s="1086">
        <v>53465.23</v>
      </c>
      <c r="AD66" s="1086" t="s">
        <v>248</v>
      </c>
      <c r="AE66" s="1086" t="s">
        <v>3877</v>
      </c>
      <c r="AF66" s="1086">
        <f t="shared" si="0"/>
        <v>53465.23</v>
      </c>
      <c r="AG66" s="1086">
        <f t="shared" si="2"/>
        <v>0</v>
      </c>
      <c r="AQ66" s="1086">
        <v>0</v>
      </c>
      <c r="AR66" s="1086">
        <v>0</v>
      </c>
      <c r="AS66" s="1086">
        <v>53465.23</v>
      </c>
      <c r="AT66" s="1086">
        <f t="shared" si="1"/>
        <v>0</v>
      </c>
      <c r="AV66" s="1150">
        <f t="shared" si="3"/>
        <v>45452.18</v>
      </c>
    </row>
    <row r="67" spans="1:48" x14ac:dyDescent="0.2">
      <c r="A67" s="19">
        <v>62</v>
      </c>
      <c r="B67" t="s">
        <v>1367</v>
      </c>
      <c r="C67" t="s">
        <v>1290</v>
      </c>
      <c r="D67" t="s">
        <v>1028</v>
      </c>
      <c r="E67" t="s">
        <v>2111</v>
      </c>
      <c r="F67" t="s">
        <v>2308</v>
      </c>
      <c r="G67" t="s">
        <v>1250</v>
      </c>
      <c r="H67" t="s">
        <v>3825</v>
      </c>
      <c r="I67" t="s">
        <v>3839</v>
      </c>
      <c r="J67" t="s">
        <v>3255</v>
      </c>
      <c r="K67" t="s">
        <v>3315</v>
      </c>
      <c r="L67" t="s">
        <v>2538</v>
      </c>
      <c r="M67" s="1086">
        <v>124329.81</v>
      </c>
      <c r="N67" s="1086">
        <v>0</v>
      </c>
      <c r="O67" s="1086">
        <v>105116.58</v>
      </c>
      <c r="P67" s="1086">
        <v>2500</v>
      </c>
      <c r="Q67" s="1086">
        <v>0</v>
      </c>
      <c r="R67" s="1086">
        <v>0</v>
      </c>
      <c r="S67" s="1086">
        <v>0</v>
      </c>
      <c r="T67" s="1086">
        <v>568.08000000000004</v>
      </c>
      <c r="U67" s="1086">
        <v>99851.32</v>
      </c>
      <c r="V67" s="1086">
        <v>0</v>
      </c>
      <c r="W67" s="1086">
        <v>3389.03</v>
      </c>
      <c r="X67" s="1086">
        <v>20725.71</v>
      </c>
      <c r="Y67" s="1086">
        <v>0</v>
      </c>
      <c r="Z67" s="1086">
        <v>0</v>
      </c>
      <c r="AA67" s="1086">
        <v>1096.24</v>
      </c>
      <c r="AB67" s="1086">
        <v>0</v>
      </c>
      <c r="AC67" s="1086">
        <v>101316.01</v>
      </c>
      <c r="AD67" s="1086" t="s">
        <v>248</v>
      </c>
      <c r="AE67" s="1086" t="s">
        <v>3877</v>
      </c>
      <c r="AF67" s="1086">
        <f t="shared" si="0"/>
        <v>101316.01</v>
      </c>
      <c r="AG67" s="1086">
        <f t="shared" si="2"/>
        <v>0</v>
      </c>
      <c r="AQ67" s="1086">
        <v>0</v>
      </c>
      <c r="AR67" s="1086">
        <v>0</v>
      </c>
      <c r="AS67" s="1086">
        <v>101316.01</v>
      </c>
      <c r="AT67" s="1086">
        <f t="shared" si="1"/>
        <v>0</v>
      </c>
      <c r="AV67" s="1150">
        <f t="shared" si="3"/>
        <v>128130.38000000002</v>
      </c>
    </row>
    <row r="68" spans="1:48" x14ac:dyDescent="0.2">
      <c r="A68" s="19">
        <v>63</v>
      </c>
      <c r="B68" t="s">
        <v>1368</v>
      </c>
      <c r="C68" t="s">
        <v>1290</v>
      </c>
      <c r="D68" t="s">
        <v>1036</v>
      </c>
      <c r="E68" t="s">
        <v>2112</v>
      </c>
      <c r="F68" t="s">
        <v>2309</v>
      </c>
      <c r="G68" t="s">
        <v>1250</v>
      </c>
      <c r="H68" t="s">
        <v>3825</v>
      </c>
      <c r="I68" t="s">
        <v>3839</v>
      </c>
      <c r="J68" t="s">
        <v>3263</v>
      </c>
      <c r="K68" t="s">
        <v>3316</v>
      </c>
      <c r="L68" t="s">
        <v>2539</v>
      </c>
      <c r="M68" s="1086">
        <v>36027.18</v>
      </c>
      <c r="N68" s="1086">
        <v>43200</v>
      </c>
      <c r="O68" s="1086">
        <v>0</v>
      </c>
      <c r="P68" s="1086">
        <v>0</v>
      </c>
      <c r="Q68" s="1086">
        <v>0</v>
      </c>
      <c r="R68" s="1086">
        <v>0</v>
      </c>
      <c r="S68" s="1086">
        <v>0</v>
      </c>
      <c r="T68" s="1086">
        <v>0</v>
      </c>
      <c r="U68" s="1086">
        <v>35298.61</v>
      </c>
      <c r="V68" s="1086">
        <v>0</v>
      </c>
      <c r="W68" s="1086">
        <v>237.6</v>
      </c>
      <c r="X68" s="1086">
        <v>0</v>
      </c>
      <c r="Y68" s="1086">
        <v>0</v>
      </c>
      <c r="Z68" s="1086">
        <v>0</v>
      </c>
      <c r="AA68" s="1086">
        <v>795.37</v>
      </c>
      <c r="AB68" s="1086">
        <v>0</v>
      </c>
      <c r="AC68" s="1086">
        <v>42895.6</v>
      </c>
      <c r="AD68" s="1086" t="s">
        <v>248</v>
      </c>
      <c r="AE68" s="1086" t="s">
        <v>3877</v>
      </c>
      <c r="AF68" s="1086">
        <f t="shared" si="0"/>
        <v>42895.599999999991</v>
      </c>
      <c r="AG68" s="1086">
        <f t="shared" si="2"/>
        <v>0</v>
      </c>
      <c r="AQ68" s="1086">
        <v>0</v>
      </c>
      <c r="AR68" s="1086">
        <v>0</v>
      </c>
      <c r="AS68" s="1086">
        <v>42895.6</v>
      </c>
      <c r="AT68" s="1086">
        <f t="shared" si="1"/>
        <v>0</v>
      </c>
      <c r="AV68" s="1150">
        <f t="shared" si="3"/>
        <v>36331.58</v>
      </c>
    </row>
    <row r="69" spans="1:48" x14ac:dyDescent="0.2">
      <c r="A69" s="19">
        <v>64</v>
      </c>
      <c r="B69" t="s">
        <v>1369</v>
      </c>
      <c r="C69" t="s">
        <v>1290</v>
      </c>
      <c r="D69" t="s">
        <v>1036</v>
      </c>
      <c r="E69" t="s">
        <v>2112</v>
      </c>
      <c r="F69" t="s">
        <v>2309</v>
      </c>
      <c r="G69" t="s">
        <v>1250</v>
      </c>
      <c r="H69" t="s">
        <v>3825</v>
      </c>
      <c r="I69">
        <v>0</v>
      </c>
      <c r="L69" t="s">
        <v>2540</v>
      </c>
      <c r="M69" s="1086">
        <v>19661.400000000001</v>
      </c>
      <c r="N69" s="1086">
        <v>0</v>
      </c>
      <c r="O69" s="1086">
        <v>0</v>
      </c>
      <c r="P69" s="1086">
        <v>0</v>
      </c>
      <c r="Q69" s="1086">
        <v>0</v>
      </c>
      <c r="R69" s="1086">
        <v>0</v>
      </c>
      <c r="S69" s="1086">
        <v>0</v>
      </c>
      <c r="T69" s="1086">
        <v>0</v>
      </c>
      <c r="U69" s="1086">
        <v>19661.400000000001</v>
      </c>
      <c r="V69" s="1086">
        <v>0</v>
      </c>
      <c r="W69" s="1086">
        <v>0</v>
      </c>
      <c r="X69" s="1086">
        <v>0</v>
      </c>
      <c r="Y69" s="1086">
        <v>0</v>
      </c>
      <c r="Z69" s="1086">
        <v>0</v>
      </c>
      <c r="AA69" s="1086">
        <v>0</v>
      </c>
      <c r="AB69" s="1086">
        <v>0</v>
      </c>
      <c r="AC69" s="1086">
        <v>0</v>
      </c>
      <c r="AD69" s="1086" t="s">
        <v>248</v>
      </c>
      <c r="AE69" s="1086" t="s">
        <v>3877</v>
      </c>
      <c r="AF69" s="1086">
        <f t="shared" si="0"/>
        <v>0</v>
      </c>
      <c r="AG69" s="1086">
        <f t="shared" si="2"/>
        <v>0</v>
      </c>
      <c r="AQ69" s="1086">
        <v>0</v>
      </c>
      <c r="AR69" s="1086">
        <v>0</v>
      </c>
      <c r="AS69" s="1086">
        <v>0</v>
      </c>
      <c r="AT69" s="1086">
        <f t="shared" si="1"/>
        <v>0</v>
      </c>
      <c r="AV69" s="1150">
        <f t="shared" si="3"/>
        <v>19661.400000000001</v>
      </c>
    </row>
    <row r="70" spans="1:48" x14ac:dyDescent="0.2">
      <c r="A70" s="19">
        <v>65</v>
      </c>
      <c r="B70" t="s">
        <v>1370</v>
      </c>
      <c r="C70" t="s">
        <v>1290</v>
      </c>
      <c r="D70" t="s">
        <v>1036</v>
      </c>
      <c r="E70" t="s">
        <v>2113</v>
      </c>
      <c r="F70" t="s">
        <v>2310</v>
      </c>
      <c r="G70" t="s">
        <v>1250</v>
      </c>
      <c r="H70" t="s">
        <v>3822</v>
      </c>
      <c r="I70" t="s">
        <v>3839</v>
      </c>
      <c r="J70" t="s">
        <v>3263</v>
      </c>
      <c r="K70" t="s">
        <v>3317</v>
      </c>
      <c r="L70" t="s">
        <v>2541</v>
      </c>
      <c r="M70" s="1086">
        <v>387856.39</v>
      </c>
      <c r="N70" s="1086">
        <v>0</v>
      </c>
      <c r="O70" s="1086">
        <v>567384.29</v>
      </c>
      <c r="P70" s="1086">
        <v>54269.95</v>
      </c>
      <c r="Q70" s="1086">
        <v>0</v>
      </c>
      <c r="R70" s="1086">
        <v>1000</v>
      </c>
      <c r="S70" s="1086">
        <v>10045.700000000001</v>
      </c>
      <c r="T70" s="1086">
        <v>12078.94</v>
      </c>
      <c r="U70" s="1086">
        <v>75083.06</v>
      </c>
      <c r="V70" s="1086">
        <v>0</v>
      </c>
      <c r="W70" s="1086">
        <v>27555.57</v>
      </c>
      <c r="X70" s="1086">
        <v>25218.639999999999</v>
      </c>
      <c r="Y70" s="1086">
        <v>0</v>
      </c>
      <c r="Z70" s="1086">
        <v>0</v>
      </c>
      <c r="AA70" s="1086">
        <v>271552.15999999997</v>
      </c>
      <c r="AB70" s="1086">
        <v>0</v>
      </c>
      <c r="AC70" s="1086">
        <v>478436.66</v>
      </c>
      <c r="AD70" s="1086" t="s">
        <v>248</v>
      </c>
      <c r="AE70" s="1086" t="s">
        <v>3877</v>
      </c>
      <c r="AF70" s="1086">
        <f t="shared" si="0"/>
        <v>478436.66000000009</v>
      </c>
      <c r="AG70" s="1086">
        <f t="shared" si="2"/>
        <v>0</v>
      </c>
      <c r="AQ70" s="1086">
        <v>0</v>
      </c>
      <c r="AR70" s="1086">
        <v>0</v>
      </c>
      <c r="AS70" s="1086">
        <v>478436.66</v>
      </c>
      <c r="AT70" s="1086">
        <f t="shared" si="1"/>
        <v>0</v>
      </c>
      <c r="AV70" s="1150">
        <f t="shared" si="3"/>
        <v>476804.01999999996</v>
      </c>
    </row>
    <row r="71" spans="1:48" x14ac:dyDescent="0.2">
      <c r="A71" s="19">
        <v>66</v>
      </c>
      <c r="B71" t="s">
        <v>1371</v>
      </c>
      <c r="C71" t="s">
        <v>1290</v>
      </c>
      <c r="D71" t="s">
        <v>1036</v>
      </c>
      <c r="E71" t="s">
        <v>2113</v>
      </c>
      <c r="F71" t="s">
        <v>2310</v>
      </c>
      <c r="G71" t="s">
        <v>1250</v>
      </c>
      <c r="H71" t="s">
        <v>3825</v>
      </c>
      <c r="I71" t="s">
        <v>3839</v>
      </c>
      <c r="J71" t="s">
        <v>3263</v>
      </c>
      <c r="K71" t="s">
        <v>3318</v>
      </c>
      <c r="L71" t="s">
        <v>2542</v>
      </c>
      <c r="M71" s="1086">
        <v>1008468.16</v>
      </c>
      <c r="N71" s="1086">
        <v>0</v>
      </c>
      <c r="O71" s="1086">
        <v>0</v>
      </c>
      <c r="P71" s="1086">
        <v>0</v>
      </c>
      <c r="Q71" s="1086">
        <v>0</v>
      </c>
      <c r="R71" s="1086">
        <v>0</v>
      </c>
      <c r="S71" s="1086">
        <v>0</v>
      </c>
      <c r="T71" s="1086">
        <v>0</v>
      </c>
      <c r="U71" s="1086">
        <v>-4142.34</v>
      </c>
      <c r="V71" s="1086">
        <v>0</v>
      </c>
      <c r="W71" s="1086">
        <v>0</v>
      </c>
      <c r="X71" s="1086">
        <v>0</v>
      </c>
      <c r="Y71" s="1086">
        <v>0</v>
      </c>
      <c r="Z71" s="1086">
        <v>0</v>
      </c>
      <c r="AA71" s="1086">
        <v>0</v>
      </c>
      <c r="AB71" s="1086">
        <v>0</v>
      </c>
      <c r="AC71" s="1086">
        <v>1012610.5</v>
      </c>
      <c r="AD71" s="1086" t="s">
        <v>248</v>
      </c>
      <c r="AE71" s="1086" t="s">
        <v>3877</v>
      </c>
      <c r="AF71" s="1086">
        <f t="shared" si="0"/>
        <v>1012610.5</v>
      </c>
      <c r="AG71" s="1086">
        <f t="shared" si="2"/>
        <v>0</v>
      </c>
      <c r="AQ71" s="1086">
        <v>0</v>
      </c>
      <c r="AR71" s="1086">
        <v>0</v>
      </c>
      <c r="AS71" s="1086">
        <v>1012610.5</v>
      </c>
      <c r="AT71" s="1086">
        <f t="shared" si="1"/>
        <v>0</v>
      </c>
      <c r="AV71" s="1150">
        <f t="shared" si="3"/>
        <v>-4142.34</v>
      </c>
    </row>
    <row r="72" spans="1:48" x14ac:dyDescent="0.2">
      <c r="A72" s="19">
        <v>67</v>
      </c>
      <c r="B72" t="s">
        <v>1372</v>
      </c>
      <c r="C72" t="s">
        <v>1290</v>
      </c>
      <c r="D72" t="s">
        <v>1036</v>
      </c>
      <c r="E72" t="s">
        <v>2113</v>
      </c>
      <c r="F72" t="s">
        <v>2310</v>
      </c>
      <c r="G72" t="s">
        <v>1250</v>
      </c>
      <c r="H72" t="s">
        <v>3825</v>
      </c>
      <c r="I72" t="s">
        <v>3251</v>
      </c>
      <c r="J72" t="s">
        <v>3251</v>
      </c>
      <c r="K72" t="s">
        <v>3251</v>
      </c>
      <c r="L72" t="s">
        <v>2543</v>
      </c>
      <c r="M72" s="1086">
        <v>15473.68</v>
      </c>
      <c r="N72" s="1086">
        <v>264877.05</v>
      </c>
      <c r="O72" s="1086">
        <v>0</v>
      </c>
      <c r="P72" s="1086">
        <v>48271.66</v>
      </c>
      <c r="Q72" s="1086">
        <v>0</v>
      </c>
      <c r="R72" s="1086">
        <v>0</v>
      </c>
      <c r="S72" s="1086">
        <v>92420.44</v>
      </c>
      <c r="T72" s="1086">
        <v>14422.89</v>
      </c>
      <c r="U72" s="1086">
        <v>103696.61</v>
      </c>
      <c r="V72" s="1086">
        <v>0</v>
      </c>
      <c r="W72" s="1086">
        <v>297.42</v>
      </c>
      <c r="X72" s="1086">
        <v>0</v>
      </c>
      <c r="Y72" s="1086">
        <v>0</v>
      </c>
      <c r="Z72" s="1086">
        <v>0</v>
      </c>
      <c r="AA72" s="1086">
        <v>9140.08</v>
      </c>
      <c r="AB72" s="1086">
        <v>0</v>
      </c>
      <c r="AC72" s="1086">
        <v>12101.63</v>
      </c>
      <c r="AD72" s="1086" t="s">
        <v>248</v>
      </c>
      <c r="AE72" s="1086" t="s">
        <v>3877</v>
      </c>
      <c r="AF72" s="1086">
        <f t="shared" ref="AF72:AF135" si="4">M72+N72+O72-(SUM(P72:AB72))-AQ72-AR72</f>
        <v>12101.630000000005</v>
      </c>
      <c r="AG72" s="1086">
        <f t="shared" ref="AG72:AG132" si="5">AC72-AF72</f>
        <v>0</v>
      </c>
      <c r="AQ72" s="1086">
        <v>0</v>
      </c>
      <c r="AR72" s="1086">
        <v>0</v>
      </c>
      <c r="AS72" s="1086">
        <v>12101.63</v>
      </c>
      <c r="AT72" s="1086">
        <f t="shared" ref="AT72:AT135" si="6">AC72-AS72</f>
        <v>0</v>
      </c>
      <c r="AV72" s="1150">
        <f t="shared" si="3"/>
        <v>268249.09999999998</v>
      </c>
    </row>
    <row r="73" spans="1:48" x14ac:dyDescent="0.2">
      <c r="A73" s="19">
        <v>68</v>
      </c>
      <c r="B73" t="s">
        <v>1373</v>
      </c>
      <c r="C73" t="s">
        <v>1290</v>
      </c>
      <c r="D73" t="s">
        <v>1044</v>
      </c>
      <c r="E73" t="s">
        <v>2114</v>
      </c>
      <c r="F73" t="s">
        <v>2311</v>
      </c>
      <c r="G73" t="s">
        <v>1250</v>
      </c>
      <c r="H73" t="s">
        <v>3825</v>
      </c>
      <c r="I73" t="s">
        <v>3839</v>
      </c>
      <c r="J73" t="s">
        <v>3319</v>
      </c>
      <c r="K73" t="s">
        <v>3320</v>
      </c>
      <c r="L73" t="s">
        <v>2544</v>
      </c>
      <c r="M73" s="1086">
        <v>39276.83</v>
      </c>
      <c r="N73" s="1086">
        <v>0</v>
      </c>
      <c r="O73" s="1086">
        <v>60000</v>
      </c>
      <c r="P73" s="1086">
        <v>0</v>
      </c>
      <c r="Q73" s="1086">
        <v>2812.5</v>
      </c>
      <c r="R73" s="1086">
        <v>0</v>
      </c>
      <c r="S73" s="1086">
        <v>0</v>
      </c>
      <c r="T73" s="1086">
        <v>42.2</v>
      </c>
      <c r="U73" s="1086">
        <v>22573.19</v>
      </c>
      <c r="V73" s="1086">
        <v>0</v>
      </c>
      <c r="W73" s="1086">
        <v>0</v>
      </c>
      <c r="X73" s="1086">
        <v>4691.49</v>
      </c>
      <c r="Y73" s="1086">
        <v>0</v>
      </c>
      <c r="Z73" s="1086">
        <v>0</v>
      </c>
      <c r="AA73" s="1086">
        <v>32004.01</v>
      </c>
      <c r="AB73" s="1086">
        <v>0</v>
      </c>
      <c r="AC73" s="1086">
        <v>37153.440000000002</v>
      </c>
      <c r="AD73" s="1086" t="s">
        <v>248</v>
      </c>
      <c r="AE73" s="1086" t="s">
        <v>3877</v>
      </c>
      <c r="AF73" s="1086">
        <f t="shared" si="4"/>
        <v>37153.440000000002</v>
      </c>
      <c r="AG73" s="1086">
        <f t="shared" si="5"/>
        <v>0</v>
      </c>
      <c r="AQ73" s="1086">
        <v>0</v>
      </c>
      <c r="AR73" s="1086">
        <v>0</v>
      </c>
      <c r="AS73" s="1086">
        <v>37153.440000000002</v>
      </c>
      <c r="AT73" s="1086">
        <f t="shared" si="6"/>
        <v>0</v>
      </c>
      <c r="AV73" s="1150">
        <f t="shared" ref="AV73:AV136" si="7">SUM(P73:AB73)+AQ73+AR73</f>
        <v>62123.39</v>
      </c>
    </row>
    <row r="74" spans="1:48" x14ac:dyDescent="0.2">
      <c r="A74" s="19">
        <v>69</v>
      </c>
      <c r="B74" t="s">
        <v>1374</v>
      </c>
      <c r="C74" t="s">
        <v>1290</v>
      </c>
      <c r="D74" t="s">
        <v>1050</v>
      </c>
      <c r="E74" t="s">
        <v>2115</v>
      </c>
      <c r="F74" t="s">
        <v>2312</v>
      </c>
      <c r="G74" t="s">
        <v>1250</v>
      </c>
      <c r="H74" t="s">
        <v>3822</v>
      </c>
      <c r="I74" t="s">
        <v>3251</v>
      </c>
      <c r="J74" t="s">
        <v>3251</v>
      </c>
      <c r="K74" t="s">
        <v>3251</v>
      </c>
      <c r="L74" t="s">
        <v>2545</v>
      </c>
      <c r="M74" s="1086">
        <v>0</v>
      </c>
      <c r="N74" s="1086">
        <v>0</v>
      </c>
      <c r="O74" s="1086">
        <v>332894.71000000002</v>
      </c>
      <c r="P74" s="1086">
        <v>88821.42</v>
      </c>
      <c r="Q74" s="1086">
        <v>0</v>
      </c>
      <c r="R74" s="1086">
        <v>0</v>
      </c>
      <c r="S74" s="1086">
        <v>0</v>
      </c>
      <c r="T74" s="1086">
        <v>13053.97</v>
      </c>
      <c r="U74" s="1086">
        <v>21250.43</v>
      </c>
      <c r="V74" s="1086">
        <v>0</v>
      </c>
      <c r="W74" s="1086">
        <v>1001.08</v>
      </c>
      <c r="X74" s="1086">
        <v>0</v>
      </c>
      <c r="Y74" s="1086">
        <v>0</v>
      </c>
      <c r="Z74" s="1086">
        <v>0</v>
      </c>
      <c r="AA74" s="1086">
        <v>3500</v>
      </c>
      <c r="AB74" s="1086">
        <v>0</v>
      </c>
      <c r="AC74" s="1086">
        <v>205267.81</v>
      </c>
      <c r="AD74" s="1086" t="s">
        <v>248</v>
      </c>
      <c r="AE74" s="1086" t="s">
        <v>3877</v>
      </c>
      <c r="AF74" s="1086">
        <f t="shared" si="4"/>
        <v>205267.81</v>
      </c>
      <c r="AG74" s="1086">
        <f t="shared" si="5"/>
        <v>0</v>
      </c>
      <c r="AQ74" s="1086">
        <v>0</v>
      </c>
      <c r="AR74" s="1086">
        <v>0</v>
      </c>
      <c r="AS74" s="1086">
        <v>205267.81</v>
      </c>
      <c r="AT74" s="1086">
        <f t="shared" si="6"/>
        <v>0</v>
      </c>
      <c r="AV74" s="1150">
        <f t="shared" si="7"/>
        <v>127626.90000000001</v>
      </c>
    </row>
    <row r="75" spans="1:48" x14ac:dyDescent="0.2">
      <c r="A75" s="19">
        <v>70</v>
      </c>
      <c r="B75" t="s">
        <v>1375</v>
      </c>
      <c r="C75" t="s">
        <v>1290</v>
      </c>
      <c r="D75" t="s">
        <v>1038</v>
      </c>
      <c r="E75" t="s">
        <v>2116</v>
      </c>
      <c r="F75" t="s">
        <v>2313</v>
      </c>
      <c r="G75" t="s">
        <v>1257</v>
      </c>
      <c r="H75" t="s">
        <v>3824</v>
      </c>
      <c r="I75">
        <v>0</v>
      </c>
      <c r="L75" t="s">
        <v>2546</v>
      </c>
      <c r="M75" s="1086">
        <v>101670.09</v>
      </c>
      <c r="N75" s="1086">
        <v>0</v>
      </c>
      <c r="O75" s="1086">
        <v>0</v>
      </c>
      <c r="P75" s="1086">
        <v>0</v>
      </c>
      <c r="Q75" s="1086">
        <v>0</v>
      </c>
      <c r="R75" s="1086">
        <v>0</v>
      </c>
      <c r="S75" s="1086">
        <v>0</v>
      </c>
      <c r="T75" s="1086">
        <v>0</v>
      </c>
      <c r="U75" s="1086">
        <v>0</v>
      </c>
      <c r="V75" s="1086">
        <v>0</v>
      </c>
      <c r="W75" s="1086">
        <v>0</v>
      </c>
      <c r="X75" s="1086">
        <v>0</v>
      </c>
      <c r="Y75" s="1086">
        <v>0</v>
      </c>
      <c r="Z75" s="1086">
        <v>0</v>
      </c>
      <c r="AA75" s="1086">
        <v>101670.09</v>
      </c>
      <c r="AB75" s="1086">
        <v>0</v>
      </c>
      <c r="AC75" s="1086">
        <v>0</v>
      </c>
      <c r="AD75" s="1086" t="s">
        <v>248</v>
      </c>
      <c r="AE75" s="1086" t="s">
        <v>3877</v>
      </c>
      <c r="AF75" s="1086">
        <f t="shared" si="4"/>
        <v>0</v>
      </c>
      <c r="AG75" s="1086">
        <f t="shared" si="5"/>
        <v>0</v>
      </c>
      <c r="AQ75" s="1086">
        <v>0</v>
      </c>
      <c r="AR75" s="1086">
        <v>0</v>
      </c>
      <c r="AS75" s="1086">
        <v>0</v>
      </c>
      <c r="AT75" s="1086">
        <f t="shared" si="6"/>
        <v>0</v>
      </c>
      <c r="AV75" s="1150">
        <f t="shared" si="7"/>
        <v>101670.09</v>
      </c>
    </row>
    <row r="76" spans="1:48" x14ac:dyDescent="0.2">
      <c r="A76" s="19">
        <v>71</v>
      </c>
      <c r="B76" t="s">
        <v>1376</v>
      </c>
      <c r="C76" t="s">
        <v>1290</v>
      </c>
      <c r="D76" t="s">
        <v>1038</v>
      </c>
      <c r="E76" t="s">
        <v>2116</v>
      </c>
      <c r="F76" t="s">
        <v>2313</v>
      </c>
      <c r="G76" t="s">
        <v>1250</v>
      </c>
      <c r="H76" t="s">
        <v>3822</v>
      </c>
      <c r="I76" t="s">
        <v>3839</v>
      </c>
      <c r="J76" t="s">
        <v>3321</v>
      </c>
      <c r="K76" t="s">
        <v>3322</v>
      </c>
      <c r="L76" t="s">
        <v>2547</v>
      </c>
      <c r="M76" s="1086">
        <v>503386.86</v>
      </c>
      <c r="N76" s="1086">
        <v>1409381.9</v>
      </c>
      <c r="O76" s="1086">
        <v>0</v>
      </c>
      <c r="P76" s="1086">
        <v>577774.34</v>
      </c>
      <c r="Q76" s="1086">
        <v>0</v>
      </c>
      <c r="R76" s="1086">
        <v>0</v>
      </c>
      <c r="S76" s="1086">
        <v>17542</v>
      </c>
      <c r="T76" s="1086">
        <v>110943.2</v>
      </c>
      <c r="U76" s="1086">
        <v>477204.63</v>
      </c>
      <c r="V76" s="1086">
        <v>0</v>
      </c>
      <c r="W76" s="1086">
        <v>0</v>
      </c>
      <c r="X76" s="1086">
        <v>1433</v>
      </c>
      <c r="Y76" s="1086">
        <v>-30566.75</v>
      </c>
      <c r="Z76" s="1086">
        <v>0</v>
      </c>
      <c r="AA76" s="1086">
        <v>295717.27</v>
      </c>
      <c r="AB76" s="1086">
        <v>0</v>
      </c>
      <c r="AC76" s="1086">
        <v>462721.07</v>
      </c>
      <c r="AD76" s="1086" t="s">
        <v>248</v>
      </c>
      <c r="AE76" s="1086" t="s">
        <v>3877</v>
      </c>
      <c r="AF76" s="1086">
        <f t="shared" si="4"/>
        <v>462721.06999999983</v>
      </c>
      <c r="AG76" s="1086">
        <f t="shared" si="5"/>
        <v>0</v>
      </c>
      <c r="AQ76" s="1086">
        <v>0</v>
      </c>
      <c r="AR76" s="1086">
        <v>0</v>
      </c>
      <c r="AS76" s="1086">
        <v>462721.07</v>
      </c>
      <c r="AT76" s="1086">
        <f t="shared" si="6"/>
        <v>0</v>
      </c>
      <c r="AV76" s="1150">
        <f t="shared" si="7"/>
        <v>1450047.69</v>
      </c>
    </row>
    <row r="77" spans="1:48" x14ac:dyDescent="0.2">
      <c r="A77" s="19">
        <v>72</v>
      </c>
      <c r="B77" t="s">
        <v>1377</v>
      </c>
      <c r="C77" t="s">
        <v>1290</v>
      </c>
      <c r="D77" t="s">
        <v>1038</v>
      </c>
      <c r="E77" t="s">
        <v>2116</v>
      </c>
      <c r="F77" t="s">
        <v>2313</v>
      </c>
      <c r="G77" t="s">
        <v>1250</v>
      </c>
      <c r="H77" t="s">
        <v>3822</v>
      </c>
      <c r="I77" t="s">
        <v>3839</v>
      </c>
      <c r="J77" t="s">
        <v>3321</v>
      </c>
      <c r="K77" t="s">
        <v>3323</v>
      </c>
      <c r="L77" t="s">
        <v>2548</v>
      </c>
      <c r="M77" s="1086">
        <v>108755.73</v>
      </c>
      <c r="N77" s="1086">
        <v>178881</v>
      </c>
      <c r="O77" s="1086">
        <v>0</v>
      </c>
      <c r="P77" s="1086">
        <v>0</v>
      </c>
      <c r="Q77" s="1086">
        <v>0</v>
      </c>
      <c r="R77" s="1086">
        <v>0</v>
      </c>
      <c r="S77" s="1086">
        <v>0</v>
      </c>
      <c r="T77" s="1086">
        <v>0</v>
      </c>
      <c r="U77" s="1086">
        <v>37.85</v>
      </c>
      <c r="V77" s="1086">
        <v>0</v>
      </c>
      <c r="W77" s="1086">
        <v>0</v>
      </c>
      <c r="X77" s="1086">
        <v>0</v>
      </c>
      <c r="Y77" s="1086">
        <v>0</v>
      </c>
      <c r="Z77" s="1086">
        <v>0</v>
      </c>
      <c r="AA77" s="1086">
        <v>154595.21</v>
      </c>
      <c r="AB77" s="1086">
        <v>0</v>
      </c>
      <c r="AC77" s="1086">
        <v>133003.67000000001</v>
      </c>
      <c r="AD77" s="1086" t="s">
        <v>248</v>
      </c>
      <c r="AE77" s="1086" t="s">
        <v>3877</v>
      </c>
      <c r="AF77" s="1086">
        <f t="shared" si="4"/>
        <v>133003.66999999998</v>
      </c>
      <c r="AG77" s="1086">
        <f t="shared" si="5"/>
        <v>0</v>
      </c>
      <c r="AQ77" s="1086">
        <v>0</v>
      </c>
      <c r="AR77" s="1086">
        <v>0</v>
      </c>
      <c r="AS77" s="1086">
        <v>133003.67000000001</v>
      </c>
      <c r="AT77" s="1086">
        <f t="shared" si="6"/>
        <v>0</v>
      </c>
      <c r="AV77" s="1150">
        <f t="shared" si="7"/>
        <v>154633.06</v>
      </c>
    </row>
    <row r="78" spans="1:48" x14ac:dyDescent="0.2">
      <c r="A78" s="19">
        <v>73</v>
      </c>
      <c r="B78" t="s">
        <v>1378</v>
      </c>
      <c r="C78" t="s">
        <v>1290</v>
      </c>
      <c r="D78" t="s">
        <v>1056</v>
      </c>
      <c r="E78" t="s">
        <v>2117</v>
      </c>
      <c r="F78" t="s">
        <v>2314</v>
      </c>
      <c r="G78" t="s">
        <v>1256</v>
      </c>
      <c r="H78" t="s">
        <v>3827</v>
      </c>
      <c r="I78" t="s">
        <v>3839</v>
      </c>
      <c r="J78" t="s">
        <v>3324</v>
      </c>
      <c r="K78" t="s">
        <v>3325</v>
      </c>
      <c r="L78" t="s">
        <v>2549</v>
      </c>
      <c r="M78" s="1086">
        <v>451582.59</v>
      </c>
      <c r="N78" s="1086">
        <v>253288.12</v>
      </c>
      <c r="O78" s="1086">
        <v>0</v>
      </c>
      <c r="P78" s="1086">
        <v>0</v>
      </c>
      <c r="Q78" s="1086">
        <v>0</v>
      </c>
      <c r="R78" s="1086">
        <v>17663.87</v>
      </c>
      <c r="S78" s="1086">
        <v>19311.599999999999</v>
      </c>
      <c r="T78" s="1086">
        <v>8292.89</v>
      </c>
      <c r="U78" s="1086">
        <v>401492.5</v>
      </c>
      <c r="V78" s="1086">
        <v>0</v>
      </c>
      <c r="W78" s="1086">
        <v>0</v>
      </c>
      <c r="X78" s="1086">
        <v>0</v>
      </c>
      <c r="Y78" s="1086">
        <v>-402918.15</v>
      </c>
      <c r="Z78" s="1086">
        <v>0</v>
      </c>
      <c r="AA78" s="1086">
        <v>375992.5</v>
      </c>
      <c r="AB78" s="1086">
        <v>0</v>
      </c>
      <c r="AC78" s="1086">
        <v>285035.5</v>
      </c>
      <c r="AD78" s="1086" t="s">
        <v>248</v>
      </c>
      <c r="AE78" s="1086" t="s">
        <v>3877</v>
      </c>
      <c r="AF78" s="1086">
        <f t="shared" si="4"/>
        <v>285035.5</v>
      </c>
      <c r="AG78" s="1086">
        <f t="shared" si="5"/>
        <v>0</v>
      </c>
      <c r="AQ78" s="1086">
        <v>0</v>
      </c>
      <c r="AR78" s="1086">
        <v>0</v>
      </c>
      <c r="AS78" s="1086">
        <v>285035.5</v>
      </c>
      <c r="AT78" s="1086">
        <f t="shared" si="6"/>
        <v>0</v>
      </c>
      <c r="AV78" s="1150">
        <f t="shared" si="7"/>
        <v>419835.20999999996</v>
      </c>
    </row>
    <row r="79" spans="1:48" x14ac:dyDescent="0.2">
      <c r="A79" s="19">
        <v>74</v>
      </c>
      <c r="B79" t="s">
        <v>1379</v>
      </c>
      <c r="C79" t="s">
        <v>1290</v>
      </c>
      <c r="D79" t="s">
        <v>1056</v>
      </c>
      <c r="E79" t="s">
        <v>2117</v>
      </c>
      <c r="F79" t="s">
        <v>2314</v>
      </c>
      <c r="G79" t="s">
        <v>1256</v>
      </c>
      <c r="H79" t="s">
        <v>3827</v>
      </c>
      <c r="I79" t="s">
        <v>3839</v>
      </c>
      <c r="J79" t="s">
        <v>3326</v>
      </c>
      <c r="K79" t="s">
        <v>3327</v>
      </c>
      <c r="L79" t="s">
        <v>2550</v>
      </c>
      <c r="M79" s="1086">
        <v>2725935.61</v>
      </c>
      <c r="N79" s="1086">
        <v>9907.35</v>
      </c>
      <c r="O79" s="1086">
        <v>1554.38</v>
      </c>
      <c r="P79" s="1086">
        <v>101244.58</v>
      </c>
      <c r="Q79" s="1086">
        <v>0</v>
      </c>
      <c r="R79" s="1086">
        <v>51894.5</v>
      </c>
      <c r="S79" s="1086">
        <v>32000</v>
      </c>
      <c r="T79" s="1086">
        <v>57088.62</v>
      </c>
      <c r="U79" s="1086">
        <v>1327176.8600000001</v>
      </c>
      <c r="V79" s="1086">
        <v>0</v>
      </c>
      <c r="W79" s="1086">
        <v>0</v>
      </c>
      <c r="X79" s="1086">
        <v>1217.31</v>
      </c>
      <c r="Y79" s="1086">
        <v>-1543167.24</v>
      </c>
      <c r="Z79" s="1086">
        <v>0</v>
      </c>
      <c r="AA79" s="1086">
        <v>792909.93</v>
      </c>
      <c r="AB79" s="1086">
        <v>0</v>
      </c>
      <c r="AC79" s="1086">
        <v>1917032.78</v>
      </c>
      <c r="AD79" s="1086" t="s">
        <v>248</v>
      </c>
      <c r="AE79" s="1086" t="s">
        <v>3877</v>
      </c>
      <c r="AF79" s="1086">
        <f t="shared" si="4"/>
        <v>1917032.7799999998</v>
      </c>
      <c r="AG79" s="1086">
        <f t="shared" si="5"/>
        <v>0</v>
      </c>
      <c r="AQ79" s="1086">
        <v>0</v>
      </c>
      <c r="AR79" s="1086">
        <v>0</v>
      </c>
      <c r="AS79" s="1086">
        <v>1917032.78</v>
      </c>
      <c r="AT79" s="1086">
        <f t="shared" si="6"/>
        <v>0</v>
      </c>
      <c r="AV79" s="1150">
        <f t="shared" si="7"/>
        <v>820364.56000000017</v>
      </c>
    </row>
    <row r="80" spans="1:48" x14ac:dyDescent="0.2">
      <c r="A80" s="19">
        <v>75</v>
      </c>
      <c r="B80" t="s">
        <v>1380</v>
      </c>
      <c r="C80" t="s">
        <v>1290</v>
      </c>
      <c r="D80" t="s">
        <v>1027</v>
      </c>
      <c r="E80" t="s">
        <v>2118</v>
      </c>
      <c r="F80" t="s">
        <v>2315</v>
      </c>
      <c r="G80" t="s">
        <v>1254</v>
      </c>
      <c r="H80" t="s">
        <v>3822</v>
      </c>
      <c r="I80" t="s">
        <v>3839</v>
      </c>
      <c r="J80" t="s">
        <v>3246</v>
      </c>
      <c r="K80" t="s">
        <v>3328</v>
      </c>
      <c r="L80" t="s">
        <v>2551</v>
      </c>
      <c r="M80" s="1086">
        <v>339969.13</v>
      </c>
      <c r="N80" s="1086">
        <v>862156.67</v>
      </c>
      <c r="O80" s="1086">
        <v>0</v>
      </c>
      <c r="P80" s="1086">
        <v>75917.48</v>
      </c>
      <c r="Q80" s="1086">
        <v>0</v>
      </c>
      <c r="R80" s="1086">
        <v>0</v>
      </c>
      <c r="S80" s="1086">
        <v>0</v>
      </c>
      <c r="T80" s="1086">
        <v>20355.78</v>
      </c>
      <c r="U80" s="1086">
        <v>109874.23</v>
      </c>
      <c r="V80" s="1086">
        <v>5</v>
      </c>
      <c r="W80" s="1086">
        <v>48624.84</v>
      </c>
      <c r="X80" s="1086">
        <v>11711.87</v>
      </c>
      <c r="Y80" s="1086">
        <v>0</v>
      </c>
      <c r="Z80" s="1086">
        <v>0</v>
      </c>
      <c r="AA80" s="1086">
        <v>77124.509999999995</v>
      </c>
      <c r="AB80" s="1086">
        <v>0</v>
      </c>
      <c r="AC80" s="1086">
        <v>858512.09</v>
      </c>
      <c r="AD80" s="1086" t="s">
        <v>248</v>
      </c>
      <c r="AE80" s="1086" t="s">
        <v>3877</v>
      </c>
      <c r="AF80" s="1086">
        <f t="shared" si="4"/>
        <v>858512.09000000008</v>
      </c>
      <c r="AG80" s="1086">
        <f t="shared" si="5"/>
        <v>0</v>
      </c>
      <c r="AQ80" s="1086">
        <v>0</v>
      </c>
      <c r="AR80" s="1086">
        <v>0</v>
      </c>
      <c r="AS80" s="1086">
        <v>858512.09</v>
      </c>
      <c r="AT80" s="1086">
        <f t="shared" si="6"/>
        <v>0</v>
      </c>
      <c r="AV80" s="1150">
        <f t="shared" si="7"/>
        <v>343613.71</v>
      </c>
    </row>
    <row r="81" spans="1:48" x14ac:dyDescent="0.2">
      <c r="A81" s="19">
        <v>76</v>
      </c>
      <c r="B81" t="s">
        <v>1381</v>
      </c>
      <c r="C81" t="s">
        <v>1290</v>
      </c>
      <c r="D81" t="s">
        <v>1039</v>
      </c>
      <c r="E81" t="s">
        <v>2119</v>
      </c>
      <c r="F81" t="s">
        <v>2316</v>
      </c>
      <c r="G81" t="s">
        <v>1250</v>
      </c>
      <c r="H81" t="s">
        <v>3825</v>
      </c>
      <c r="I81" t="s">
        <v>3839</v>
      </c>
      <c r="J81" t="s">
        <v>3266</v>
      </c>
      <c r="K81" t="s">
        <v>3329</v>
      </c>
      <c r="L81" t="s">
        <v>2552</v>
      </c>
      <c r="M81" s="1086">
        <v>78.98</v>
      </c>
      <c r="N81" s="1086">
        <v>13356.84</v>
      </c>
      <c r="O81" s="1086">
        <v>0</v>
      </c>
      <c r="P81" s="1086">
        <v>0</v>
      </c>
      <c r="Q81" s="1086">
        <v>0</v>
      </c>
      <c r="R81" s="1086">
        <v>0</v>
      </c>
      <c r="S81" s="1086">
        <v>0</v>
      </c>
      <c r="T81" s="1086">
        <v>0</v>
      </c>
      <c r="U81" s="1086">
        <v>4218.1400000000003</v>
      </c>
      <c r="V81" s="1086">
        <v>0</v>
      </c>
      <c r="W81" s="1086">
        <v>0</v>
      </c>
      <c r="X81" s="1086">
        <v>0</v>
      </c>
      <c r="Y81" s="1086">
        <v>0</v>
      </c>
      <c r="Z81" s="1086">
        <v>0</v>
      </c>
      <c r="AA81" s="1086">
        <v>534.75</v>
      </c>
      <c r="AB81" s="1086">
        <v>0</v>
      </c>
      <c r="AC81" s="1086">
        <v>8682.93</v>
      </c>
      <c r="AD81" s="1086" t="s">
        <v>248</v>
      </c>
      <c r="AE81" s="1086" t="s">
        <v>3877</v>
      </c>
      <c r="AF81" s="1086">
        <f t="shared" si="4"/>
        <v>8682.93</v>
      </c>
      <c r="AG81" s="1086">
        <f t="shared" si="5"/>
        <v>0</v>
      </c>
      <c r="AQ81" s="1086">
        <v>0</v>
      </c>
      <c r="AR81" s="1086">
        <v>0</v>
      </c>
      <c r="AS81" s="1086">
        <v>8682.93</v>
      </c>
      <c r="AT81" s="1086">
        <f t="shared" si="6"/>
        <v>0</v>
      </c>
      <c r="AV81" s="1150">
        <f t="shared" si="7"/>
        <v>4752.8900000000003</v>
      </c>
    </row>
    <row r="82" spans="1:48" x14ac:dyDescent="0.2">
      <c r="A82" s="19">
        <v>77</v>
      </c>
      <c r="B82" t="s">
        <v>1382</v>
      </c>
      <c r="C82" t="s">
        <v>1290</v>
      </c>
      <c r="D82" t="s">
        <v>1058</v>
      </c>
      <c r="E82" t="s">
        <v>2120</v>
      </c>
      <c r="F82" t="s">
        <v>2317</v>
      </c>
      <c r="G82" t="s">
        <v>1250</v>
      </c>
      <c r="H82" t="s">
        <v>3825</v>
      </c>
      <c r="I82" t="s">
        <v>3839</v>
      </c>
      <c r="J82" t="s">
        <v>3313</v>
      </c>
      <c r="K82" t="s">
        <v>3330</v>
      </c>
      <c r="L82" t="s">
        <v>2553</v>
      </c>
      <c r="M82" s="1086">
        <v>727937.54</v>
      </c>
      <c r="N82" s="1086">
        <v>28830.35</v>
      </c>
      <c r="O82" s="1086">
        <v>817211.98</v>
      </c>
      <c r="P82" s="1086">
        <v>112844.49</v>
      </c>
      <c r="Q82" s="1086">
        <v>9354.16</v>
      </c>
      <c r="R82" s="1086">
        <v>9508.41</v>
      </c>
      <c r="S82" s="1086">
        <v>0</v>
      </c>
      <c r="T82" s="1086">
        <v>10286.43</v>
      </c>
      <c r="U82" s="1086">
        <v>223376.49</v>
      </c>
      <c r="V82" s="1086">
        <v>0</v>
      </c>
      <c r="W82" s="1086">
        <v>6725.53</v>
      </c>
      <c r="X82" s="1086">
        <v>64718.21</v>
      </c>
      <c r="Y82" s="1086">
        <v>-750</v>
      </c>
      <c r="Z82" s="1086">
        <v>14000</v>
      </c>
      <c r="AA82" s="1086">
        <v>289869.84000000003</v>
      </c>
      <c r="AB82" s="1086">
        <v>0</v>
      </c>
      <c r="AC82" s="1086">
        <v>834046.31</v>
      </c>
      <c r="AD82" s="1086" t="s">
        <v>248</v>
      </c>
      <c r="AE82" s="1086" t="s">
        <v>3877</v>
      </c>
      <c r="AF82" s="1086">
        <f t="shared" si="4"/>
        <v>834046.31</v>
      </c>
      <c r="AG82" s="1086">
        <f t="shared" si="5"/>
        <v>0</v>
      </c>
      <c r="AQ82" s="1086">
        <v>0</v>
      </c>
      <c r="AR82" s="1086">
        <v>0</v>
      </c>
      <c r="AS82" s="1086">
        <v>834046.31</v>
      </c>
      <c r="AT82" s="1086">
        <f t="shared" si="6"/>
        <v>0</v>
      </c>
      <c r="AV82" s="1150">
        <f t="shared" si="7"/>
        <v>739933.56</v>
      </c>
    </row>
    <row r="83" spans="1:48" x14ac:dyDescent="0.2">
      <c r="A83" s="19">
        <v>78</v>
      </c>
      <c r="B83" t="s">
        <v>1383</v>
      </c>
      <c r="C83" t="s">
        <v>1290</v>
      </c>
      <c r="D83" t="s">
        <v>1058</v>
      </c>
      <c r="E83" t="s">
        <v>2120</v>
      </c>
      <c r="F83" t="s">
        <v>2317</v>
      </c>
      <c r="G83" t="s">
        <v>1250</v>
      </c>
      <c r="H83" t="s">
        <v>3826</v>
      </c>
      <c r="I83" t="s">
        <v>3839</v>
      </c>
      <c r="J83" t="s">
        <v>3313</v>
      </c>
      <c r="K83" t="s">
        <v>3331</v>
      </c>
      <c r="L83" t="s">
        <v>2554</v>
      </c>
      <c r="M83" s="1086">
        <v>22410.720000000001</v>
      </c>
      <c r="N83" s="1086">
        <v>32750</v>
      </c>
      <c r="O83" s="1086">
        <v>0</v>
      </c>
      <c r="P83" s="1086">
        <v>0</v>
      </c>
      <c r="Q83" s="1086">
        <v>0</v>
      </c>
      <c r="R83" s="1086">
        <v>0</v>
      </c>
      <c r="S83" s="1086">
        <v>19160.25</v>
      </c>
      <c r="T83" s="1086">
        <v>258.79000000000002</v>
      </c>
      <c r="U83" s="1086">
        <v>178.21</v>
      </c>
      <c r="V83" s="1086">
        <v>0</v>
      </c>
      <c r="W83" s="1086">
        <v>0</v>
      </c>
      <c r="X83" s="1086">
        <v>0</v>
      </c>
      <c r="Y83" s="1086">
        <v>0</v>
      </c>
      <c r="Z83" s="1086">
        <v>0</v>
      </c>
      <c r="AA83" s="1086">
        <v>7632.71</v>
      </c>
      <c r="AB83" s="1086">
        <v>0</v>
      </c>
      <c r="AC83" s="1086">
        <v>27930.76</v>
      </c>
      <c r="AD83" s="1086" t="s">
        <v>248</v>
      </c>
      <c r="AE83" s="1086" t="s">
        <v>3877</v>
      </c>
      <c r="AF83" s="1086">
        <f t="shared" si="4"/>
        <v>27930.760000000002</v>
      </c>
      <c r="AG83" s="1086">
        <f t="shared" si="5"/>
        <v>0</v>
      </c>
      <c r="AQ83" s="1086">
        <v>0</v>
      </c>
      <c r="AR83" s="1086">
        <v>0</v>
      </c>
      <c r="AS83" s="1086">
        <v>27930.76</v>
      </c>
      <c r="AT83" s="1086">
        <f t="shared" si="6"/>
        <v>0</v>
      </c>
      <c r="AV83" s="1150">
        <f t="shared" si="7"/>
        <v>27229.96</v>
      </c>
    </row>
    <row r="84" spans="1:48" x14ac:dyDescent="0.2">
      <c r="A84" s="19">
        <v>79</v>
      </c>
      <c r="B84" t="s">
        <v>1384</v>
      </c>
      <c r="C84" t="s">
        <v>1290</v>
      </c>
      <c r="D84" t="s">
        <v>1040</v>
      </c>
      <c r="E84" t="s">
        <v>2121</v>
      </c>
      <c r="F84" t="s">
        <v>2318</v>
      </c>
      <c r="G84" t="s">
        <v>1257</v>
      </c>
      <c r="H84" t="s">
        <v>3829</v>
      </c>
      <c r="I84">
        <v>0</v>
      </c>
      <c r="L84" t="s">
        <v>2555</v>
      </c>
      <c r="M84" s="1086">
        <v>67481.84</v>
      </c>
      <c r="N84" s="1086">
        <v>0</v>
      </c>
      <c r="O84" s="1086">
        <v>104756.78</v>
      </c>
      <c r="P84" s="1086">
        <v>0</v>
      </c>
      <c r="Q84" s="1086">
        <v>0</v>
      </c>
      <c r="R84" s="1086">
        <v>0</v>
      </c>
      <c r="S84" s="1086">
        <v>0</v>
      </c>
      <c r="T84" s="1086">
        <v>0</v>
      </c>
      <c r="U84" s="1086">
        <v>0</v>
      </c>
      <c r="V84" s="1086">
        <v>0</v>
      </c>
      <c r="W84" s="1086">
        <v>0</v>
      </c>
      <c r="X84" s="1086">
        <v>0</v>
      </c>
      <c r="Y84" s="1086">
        <v>0</v>
      </c>
      <c r="Z84" s="1086">
        <v>50000</v>
      </c>
      <c r="AA84" s="1086">
        <v>0</v>
      </c>
      <c r="AB84" s="1086">
        <v>0</v>
      </c>
      <c r="AC84" s="1086">
        <v>122238.62</v>
      </c>
      <c r="AD84" s="1086" t="s">
        <v>248</v>
      </c>
      <c r="AE84" s="1086" t="s">
        <v>3877</v>
      </c>
      <c r="AF84" s="1086">
        <f t="shared" si="4"/>
        <v>122238.62</v>
      </c>
      <c r="AG84" s="1086">
        <f t="shared" si="5"/>
        <v>0</v>
      </c>
      <c r="AQ84" s="1086">
        <v>0</v>
      </c>
      <c r="AR84" s="1086">
        <v>0</v>
      </c>
      <c r="AS84" s="1086">
        <v>122238.62</v>
      </c>
      <c r="AT84" s="1086">
        <f t="shared" si="6"/>
        <v>0</v>
      </c>
      <c r="AU84" s="167" t="s">
        <v>3912</v>
      </c>
      <c r="AV84" s="1150">
        <f t="shared" si="7"/>
        <v>50000</v>
      </c>
    </row>
    <row r="85" spans="1:48" x14ac:dyDescent="0.2">
      <c r="A85" s="19">
        <v>80</v>
      </c>
      <c r="B85" t="s">
        <v>1385</v>
      </c>
      <c r="C85" t="s">
        <v>1290</v>
      </c>
      <c r="D85" t="s">
        <v>1040</v>
      </c>
      <c r="E85" t="s">
        <v>2121</v>
      </c>
      <c r="F85" t="s">
        <v>2318</v>
      </c>
      <c r="G85" t="s">
        <v>1257</v>
      </c>
      <c r="H85" t="s">
        <v>3829</v>
      </c>
      <c r="I85" t="s">
        <v>3251</v>
      </c>
      <c r="J85" t="s">
        <v>3251</v>
      </c>
      <c r="K85" t="s">
        <v>3251</v>
      </c>
      <c r="L85" t="s">
        <v>2556</v>
      </c>
      <c r="M85" s="1086">
        <v>105.7</v>
      </c>
      <c r="N85" s="1086">
        <v>113824.73</v>
      </c>
      <c r="O85" s="1086">
        <v>171543.61</v>
      </c>
      <c r="P85" s="1086">
        <v>0</v>
      </c>
      <c r="Q85" s="1086">
        <v>0</v>
      </c>
      <c r="R85" s="1086">
        <v>0</v>
      </c>
      <c r="S85" s="1086">
        <v>0</v>
      </c>
      <c r="T85" s="1086">
        <v>0</v>
      </c>
      <c r="U85" s="1086">
        <v>0</v>
      </c>
      <c r="V85" s="1086">
        <v>0</v>
      </c>
      <c r="W85" s="1086">
        <v>0</v>
      </c>
      <c r="X85" s="1086">
        <v>0</v>
      </c>
      <c r="Y85" s="1086">
        <v>0</v>
      </c>
      <c r="Z85" s="1086">
        <v>92400</v>
      </c>
      <c r="AA85" s="1086">
        <v>0</v>
      </c>
      <c r="AB85" s="1086">
        <v>0</v>
      </c>
      <c r="AC85" s="1086">
        <v>193074.04</v>
      </c>
      <c r="AD85" s="1086" t="s">
        <v>248</v>
      </c>
      <c r="AE85" s="1086" t="s">
        <v>3877</v>
      </c>
      <c r="AF85" s="1086">
        <f t="shared" si="4"/>
        <v>193074.03999999998</v>
      </c>
      <c r="AG85" s="1086">
        <f t="shared" si="5"/>
        <v>0</v>
      </c>
      <c r="AQ85" s="1086">
        <v>0</v>
      </c>
      <c r="AR85" s="1086">
        <v>0</v>
      </c>
      <c r="AS85" s="1086">
        <v>193074.04</v>
      </c>
      <c r="AT85" s="1086">
        <f t="shared" si="6"/>
        <v>0</v>
      </c>
      <c r="AV85" s="1150">
        <f t="shared" si="7"/>
        <v>92400</v>
      </c>
    </row>
    <row r="86" spans="1:48" x14ac:dyDescent="0.2">
      <c r="A86" s="19">
        <v>81</v>
      </c>
      <c r="B86" t="s">
        <v>1386</v>
      </c>
      <c r="C86" t="s">
        <v>1290</v>
      </c>
      <c r="D86" t="s">
        <v>1032</v>
      </c>
      <c r="E86" t="s">
        <v>2122</v>
      </c>
      <c r="F86" t="s">
        <v>2319</v>
      </c>
      <c r="G86" t="s">
        <v>1250</v>
      </c>
      <c r="H86" t="s">
        <v>3825</v>
      </c>
      <c r="I86" t="s">
        <v>3839</v>
      </c>
      <c r="J86" t="s">
        <v>3332</v>
      </c>
      <c r="K86" t="s">
        <v>3333</v>
      </c>
      <c r="L86" t="s">
        <v>2557</v>
      </c>
      <c r="M86" s="1086">
        <v>33827.24</v>
      </c>
      <c r="N86" s="1086">
        <v>0</v>
      </c>
      <c r="O86" s="1086">
        <v>0</v>
      </c>
      <c r="P86" s="1086">
        <v>0</v>
      </c>
      <c r="Q86" s="1086">
        <v>0</v>
      </c>
      <c r="R86" s="1086">
        <v>0</v>
      </c>
      <c r="S86" s="1086">
        <v>0</v>
      </c>
      <c r="T86" s="1086">
        <v>0</v>
      </c>
      <c r="U86" s="1086">
        <v>98721.58</v>
      </c>
      <c r="V86" s="1086">
        <v>0</v>
      </c>
      <c r="W86" s="1086">
        <v>0</v>
      </c>
      <c r="X86" s="1086">
        <v>0</v>
      </c>
      <c r="Y86" s="1086">
        <v>-89280.11</v>
      </c>
      <c r="Z86" s="1086">
        <v>0</v>
      </c>
      <c r="AA86" s="1086">
        <v>0</v>
      </c>
      <c r="AB86" s="1086">
        <v>0</v>
      </c>
      <c r="AC86" s="1086">
        <v>24385.77</v>
      </c>
      <c r="AD86" s="1086" t="s">
        <v>248</v>
      </c>
      <c r="AE86" s="1086" t="s">
        <v>3877</v>
      </c>
      <c r="AF86" s="1086">
        <f t="shared" si="4"/>
        <v>24385.769999999997</v>
      </c>
      <c r="AG86" s="1086">
        <f t="shared" si="5"/>
        <v>0</v>
      </c>
      <c r="AQ86" s="1086">
        <v>0</v>
      </c>
      <c r="AR86" s="1086">
        <v>0</v>
      </c>
      <c r="AS86" s="1086">
        <v>24385.77</v>
      </c>
      <c r="AT86" s="1086">
        <f t="shared" si="6"/>
        <v>0</v>
      </c>
      <c r="AV86" s="1150">
        <f t="shared" si="7"/>
        <v>9441.4700000000012</v>
      </c>
    </row>
    <row r="87" spans="1:48" x14ac:dyDescent="0.2">
      <c r="A87" s="19">
        <v>82</v>
      </c>
      <c r="B87" t="s">
        <v>1387</v>
      </c>
      <c r="C87" t="s">
        <v>1290</v>
      </c>
      <c r="D87" t="s">
        <v>1032</v>
      </c>
      <c r="E87" t="s">
        <v>2122</v>
      </c>
      <c r="F87" t="s">
        <v>2319</v>
      </c>
      <c r="G87" t="s">
        <v>1250</v>
      </c>
      <c r="H87" t="s">
        <v>3825</v>
      </c>
      <c r="I87" t="s">
        <v>3839</v>
      </c>
      <c r="J87" t="s">
        <v>3332</v>
      </c>
      <c r="K87" t="s">
        <v>3334</v>
      </c>
      <c r="L87" t="s">
        <v>2558</v>
      </c>
      <c r="M87" s="1086">
        <v>59200.959999999999</v>
      </c>
      <c r="N87" s="1086">
        <v>0</v>
      </c>
      <c r="O87" s="1086">
        <v>0</v>
      </c>
      <c r="P87" s="1086">
        <v>0</v>
      </c>
      <c r="Q87" s="1086">
        <v>0</v>
      </c>
      <c r="R87" s="1086">
        <v>0</v>
      </c>
      <c r="S87" s="1086">
        <v>0</v>
      </c>
      <c r="T87" s="1086">
        <v>0</v>
      </c>
      <c r="U87" s="1086">
        <v>0</v>
      </c>
      <c r="V87" s="1086">
        <v>0</v>
      </c>
      <c r="W87" s="1086">
        <v>0</v>
      </c>
      <c r="X87" s="1086">
        <v>0</v>
      </c>
      <c r="Y87" s="1086">
        <v>0</v>
      </c>
      <c r="Z87" s="1086">
        <v>0</v>
      </c>
      <c r="AA87" s="1086">
        <v>0</v>
      </c>
      <c r="AB87" s="1086">
        <v>0</v>
      </c>
      <c r="AC87" s="1086">
        <v>59200.959999999999</v>
      </c>
      <c r="AD87" s="1086" t="s">
        <v>248</v>
      </c>
      <c r="AE87" s="1086" t="s">
        <v>3877</v>
      </c>
      <c r="AF87" s="1086">
        <f t="shared" si="4"/>
        <v>59200.959999999999</v>
      </c>
      <c r="AG87" s="1086">
        <f t="shared" si="5"/>
        <v>0</v>
      </c>
      <c r="AQ87" s="1086">
        <v>0</v>
      </c>
      <c r="AR87" s="1086">
        <v>0</v>
      </c>
      <c r="AS87" s="1086">
        <v>59200.959999999999</v>
      </c>
      <c r="AT87" s="1086">
        <f t="shared" si="6"/>
        <v>0</v>
      </c>
      <c r="AV87" s="1150">
        <f t="shared" si="7"/>
        <v>0</v>
      </c>
    </row>
    <row r="88" spans="1:48" x14ac:dyDescent="0.2">
      <c r="A88" s="19">
        <v>83</v>
      </c>
      <c r="B88" t="s">
        <v>1388</v>
      </c>
      <c r="C88" t="s">
        <v>1290</v>
      </c>
      <c r="D88" t="s">
        <v>1032</v>
      </c>
      <c r="E88" t="s">
        <v>2122</v>
      </c>
      <c r="F88" t="s">
        <v>2319</v>
      </c>
      <c r="G88" t="s">
        <v>1250</v>
      </c>
      <c r="H88" t="s">
        <v>3827</v>
      </c>
      <c r="I88" t="s">
        <v>3839</v>
      </c>
      <c r="J88" t="s">
        <v>3332</v>
      </c>
      <c r="K88" t="s">
        <v>3335</v>
      </c>
      <c r="L88" t="s">
        <v>2559</v>
      </c>
      <c r="M88" s="1086">
        <v>945520.53</v>
      </c>
      <c r="N88" s="1086">
        <v>0</v>
      </c>
      <c r="O88" s="1086">
        <v>0</v>
      </c>
      <c r="P88" s="1086">
        <v>1046660.82</v>
      </c>
      <c r="Q88" s="1086">
        <v>0</v>
      </c>
      <c r="R88" s="1086">
        <v>0</v>
      </c>
      <c r="S88" s="1086">
        <v>45828.42</v>
      </c>
      <c r="T88" s="1086">
        <v>306567.44</v>
      </c>
      <c r="U88" s="1086">
        <v>1257941.78</v>
      </c>
      <c r="V88" s="1086">
        <v>0</v>
      </c>
      <c r="W88" s="1086">
        <v>0</v>
      </c>
      <c r="X88" s="1086">
        <v>0</v>
      </c>
      <c r="Y88" s="1086">
        <v>-2643171.7999999998</v>
      </c>
      <c r="Z88" s="1086">
        <v>0</v>
      </c>
      <c r="AA88" s="1086">
        <v>0</v>
      </c>
      <c r="AB88" s="1086">
        <v>0</v>
      </c>
      <c r="AC88" s="1086">
        <v>931693.87</v>
      </c>
      <c r="AD88" s="1086" t="s">
        <v>248</v>
      </c>
      <c r="AE88" s="1086" t="s">
        <v>3877</v>
      </c>
      <c r="AF88" s="1086">
        <f t="shared" si="4"/>
        <v>931693.86999999988</v>
      </c>
      <c r="AG88" s="1086">
        <f t="shared" si="5"/>
        <v>0</v>
      </c>
      <c r="AQ88" s="1086">
        <v>0</v>
      </c>
      <c r="AR88" s="1086">
        <v>0</v>
      </c>
      <c r="AS88" s="1086">
        <v>931693.87</v>
      </c>
      <c r="AT88" s="1086">
        <f t="shared" si="6"/>
        <v>0</v>
      </c>
      <c r="AV88" s="1150">
        <f t="shared" si="7"/>
        <v>13826.660000000149</v>
      </c>
    </row>
    <row r="89" spans="1:48" x14ac:dyDescent="0.2">
      <c r="A89" s="19">
        <v>84</v>
      </c>
      <c r="B89" t="s">
        <v>1389</v>
      </c>
      <c r="C89" t="s">
        <v>1290</v>
      </c>
      <c r="D89" t="s">
        <v>1032</v>
      </c>
      <c r="E89" t="s">
        <v>2122</v>
      </c>
      <c r="F89" t="s">
        <v>2319</v>
      </c>
      <c r="G89" t="s">
        <v>1250</v>
      </c>
      <c r="H89" t="s">
        <v>3825</v>
      </c>
      <c r="I89" t="s">
        <v>3839</v>
      </c>
      <c r="J89" t="s">
        <v>3332</v>
      </c>
      <c r="K89" t="s">
        <v>3336</v>
      </c>
      <c r="L89" t="s">
        <v>2560</v>
      </c>
      <c r="M89" s="1086">
        <v>273899.02</v>
      </c>
      <c r="N89" s="1086">
        <v>2362.3900000000003</v>
      </c>
      <c r="O89" s="1086">
        <v>468465.55</v>
      </c>
      <c r="P89" s="1086">
        <v>20000</v>
      </c>
      <c r="Q89" s="1086">
        <v>0</v>
      </c>
      <c r="R89" s="1086">
        <v>0</v>
      </c>
      <c r="S89" s="1086">
        <v>0</v>
      </c>
      <c r="T89" s="1086">
        <v>5384.44</v>
      </c>
      <c r="U89" s="1086">
        <v>189432.87</v>
      </c>
      <c r="V89" s="1086">
        <v>0</v>
      </c>
      <c r="W89" s="1086">
        <v>0</v>
      </c>
      <c r="X89" s="1086">
        <v>81231.520000000004</v>
      </c>
      <c r="Y89" s="1086">
        <v>-139941.07999999999</v>
      </c>
      <c r="Z89" s="1086">
        <v>0</v>
      </c>
      <c r="AA89" s="1086">
        <v>541501.38</v>
      </c>
      <c r="AB89" s="1086">
        <v>0</v>
      </c>
      <c r="AC89" s="1086">
        <v>47117.83</v>
      </c>
      <c r="AD89" s="1086" t="s">
        <v>248</v>
      </c>
      <c r="AE89" s="1086" t="s">
        <v>3877</v>
      </c>
      <c r="AF89" s="1086">
        <f t="shared" si="4"/>
        <v>47117.829999999958</v>
      </c>
      <c r="AG89" s="1086">
        <f t="shared" si="5"/>
        <v>0</v>
      </c>
      <c r="AQ89" s="1086">
        <v>0</v>
      </c>
      <c r="AR89" s="1086">
        <v>0</v>
      </c>
      <c r="AS89" s="1086">
        <v>47117.83</v>
      </c>
      <c r="AT89" s="1086">
        <f t="shared" si="6"/>
        <v>0</v>
      </c>
      <c r="AV89" s="1150">
        <f t="shared" si="7"/>
        <v>697609.13</v>
      </c>
    </row>
    <row r="90" spans="1:48" x14ac:dyDescent="0.2">
      <c r="A90" s="19">
        <v>85</v>
      </c>
      <c r="B90" t="s">
        <v>1390</v>
      </c>
      <c r="C90" t="s">
        <v>1290</v>
      </c>
      <c r="D90" t="s">
        <v>1058</v>
      </c>
      <c r="E90" t="s">
        <v>2123</v>
      </c>
      <c r="F90" t="s">
        <v>2320</v>
      </c>
      <c r="G90" t="s">
        <v>1250</v>
      </c>
      <c r="H90" t="s">
        <v>3825</v>
      </c>
      <c r="I90" t="s">
        <v>3839</v>
      </c>
      <c r="J90" t="s">
        <v>3313</v>
      </c>
      <c r="K90" t="s">
        <v>3337</v>
      </c>
      <c r="L90" t="s">
        <v>2561</v>
      </c>
      <c r="M90" s="1086">
        <v>149360.76</v>
      </c>
      <c r="N90" s="1086">
        <v>1350</v>
      </c>
      <c r="O90" s="1086">
        <v>99812.39</v>
      </c>
      <c r="P90" s="1086">
        <v>32500</v>
      </c>
      <c r="Q90" s="1086">
        <v>0</v>
      </c>
      <c r="R90" s="1086">
        <v>0</v>
      </c>
      <c r="S90" s="1086">
        <v>0</v>
      </c>
      <c r="T90" s="1086">
        <v>3296.41</v>
      </c>
      <c r="U90" s="1086">
        <v>61025.9</v>
      </c>
      <c r="V90" s="1086">
        <v>555</v>
      </c>
      <c r="W90" s="1086">
        <v>8761.85</v>
      </c>
      <c r="X90" s="1086">
        <v>49188.58</v>
      </c>
      <c r="Y90" s="1086">
        <v>-750</v>
      </c>
      <c r="Z90" s="1086">
        <v>0</v>
      </c>
      <c r="AA90" s="1086">
        <v>909.9</v>
      </c>
      <c r="AB90" s="1086">
        <v>0</v>
      </c>
      <c r="AC90" s="1086">
        <v>95035.51</v>
      </c>
      <c r="AD90" s="1086" t="s">
        <v>248</v>
      </c>
      <c r="AE90" s="1086" t="s">
        <v>3877</v>
      </c>
      <c r="AF90" s="1086">
        <f t="shared" si="4"/>
        <v>95035.510000000038</v>
      </c>
      <c r="AG90" s="1086">
        <f t="shared" si="5"/>
        <v>0</v>
      </c>
      <c r="AQ90" s="1086">
        <v>0</v>
      </c>
      <c r="AR90" s="1086">
        <v>0</v>
      </c>
      <c r="AS90" s="1086">
        <v>95035.510000000009</v>
      </c>
      <c r="AT90" s="1086">
        <f t="shared" si="6"/>
        <v>0</v>
      </c>
      <c r="AV90" s="1150">
        <f t="shared" si="7"/>
        <v>155487.63999999998</v>
      </c>
    </row>
    <row r="91" spans="1:48" x14ac:dyDescent="0.2">
      <c r="A91" s="19">
        <v>86</v>
      </c>
      <c r="B91" t="s">
        <v>1391</v>
      </c>
      <c r="C91" t="s">
        <v>1290</v>
      </c>
      <c r="D91" t="s">
        <v>1059</v>
      </c>
      <c r="E91" t="s">
        <v>2124</v>
      </c>
      <c r="F91" t="s">
        <v>2321</v>
      </c>
      <c r="G91" t="s">
        <v>1250</v>
      </c>
      <c r="H91" t="s">
        <v>3825</v>
      </c>
      <c r="I91" t="s">
        <v>3839</v>
      </c>
      <c r="J91" t="s">
        <v>3257</v>
      </c>
      <c r="K91" t="s">
        <v>3338</v>
      </c>
      <c r="L91" t="s">
        <v>2562</v>
      </c>
      <c r="M91" s="1086">
        <v>26329.11</v>
      </c>
      <c r="N91" s="1086">
        <v>0</v>
      </c>
      <c r="O91" s="1086">
        <v>56000</v>
      </c>
      <c r="P91" s="1086">
        <v>0</v>
      </c>
      <c r="Q91" s="1086">
        <v>0</v>
      </c>
      <c r="R91" s="1086">
        <v>0</v>
      </c>
      <c r="S91" s="1086">
        <v>0</v>
      </c>
      <c r="T91" s="1086">
        <v>0</v>
      </c>
      <c r="U91" s="1086">
        <v>921.78</v>
      </c>
      <c r="V91" s="1086">
        <v>0</v>
      </c>
      <c r="W91" s="1086">
        <v>451.82</v>
      </c>
      <c r="X91" s="1086">
        <v>239</v>
      </c>
      <c r="Y91" s="1086">
        <v>0</v>
      </c>
      <c r="Z91" s="1086">
        <v>0</v>
      </c>
      <c r="AA91" s="1086">
        <v>0</v>
      </c>
      <c r="AB91" s="1086">
        <v>0</v>
      </c>
      <c r="AC91" s="1086">
        <v>80716.509999999995</v>
      </c>
      <c r="AD91" s="1086" t="s">
        <v>248</v>
      </c>
      <c r="AE91" s="1086" t="s">
        <v>3877</v>
      </c>
      <c r="AF91" s="1086">
        <f t="shared" si="4"/>
        <v>80716.509999999995</v>
      </c>
      <c r="AG91" s="1086">
        <f t="shared" si="5"/>
        <v>0</v>
      </c>
      <c r="AQ91" s="1086">
        <v>0</v>
      </c>
      <c r="AR91" s="1086">
        <v>0</v>
      </c>
      <c r="AS91" s="1086">
        <v>80716.509999999995</v>
      </c>
      <c r="AT91" s="1086">
        <f t="shared" si="6"/>
        <v>0</v>
      </c>
      <c r="AV91" s="1150">
        <f t="shared" si="7"/>
        <v>1612.6</v>
      </c>
    </row>
    <row r="92" spans="1:48" x14ac:dyDescent="0.2">
      <c r="A92" s="19">
        <v>87</v>
      </c>
      <c r="B92" t="s">
        <v>1392</v>
      </c>
      <c r="C92" t="s">
        <v>1290</v>
      </c>
      <c r="D92" t="s">
        <v>1059</v>
      </c>
      <c r="E92" t="s">
        <v>2124</v>
      </c>
      <c r="F92" t="s">
        <v>2321</v>
      </c>
      <c r="G92" t="s">
        <v>1250</v>
      </c>
      <c r="H92" t="s">
        <v>3825</v>
      </c>
      <c r="I92" t="s">
        <v>3839</v>
      </c>
      <c r="J92" t="s">
        <v>3257</v>
      </c>
      <c r="K92" t="s">
        <v>3339</v>
      </c>
      <c r="L92" t="s">
        <v>2563</v>
      </c>
      <c r="M92" s="1086">
        <v>250096.5</v>
      </c>
      <c r="N92" s="1086">
        <v>0</v>
      </c>
      <c r="O92" s="1086">
        <v>0</v>
      </c>
      <c r="P92" s="1086">
        <v>0</v>
      </c>
      <c r="Q92" s="1086">
        <v>0</v>
      </c>
      <c r="R92" s="1086">
        <v>0</v>
      </c>
      <c r="S92" s="1086">
        <v>0</v>
      </c>
      <c r="T92" s="1086">
        <v>0</v>
      </c>
      <c r="U92" s="1086">
        <v>0</v>
      </c>
      <c r="V92" s="1086">
        <v>0</v>
      </c>
      <c r="W92" s="1086">
        <v>0</v>
      </c>
      <c r="X92" s="1086">
        <v>0</v>
      </c>
      <c r="Y92" s="1086">
        <v>0</v>
      </c>
      <c r="Z92" s="1086">
        <v>0</v>
      </c>
      <c r="AA92" s="1086">
        <v>0</v>
      </c>
      <c r="AB92" s="1086">
        <v>0</v>
      </c>
      <c r="AC92" s="1086">
        <v>250096.5</v>
      </c>
      <c r="AD92" s="1086" t="s">
        <v>248</v>
      </c>
      <c r="AE92" s="1086" t="s">
        <v>3877</v>
      </c>
      <c r="AF92" s="1086">
        <f t="shared" si="4"/>
        <v>250096.5</v>
      </c>
      <c r="AG92" s="1086">
        <f t="shared" si="5"/>
        <v>0</v>
      </c>
      <c r="AQ92" s="1086">
        <v>0</v>
      </c>
      <c r="AR92" s="1086">
        <v>0</v>
      </c>
      <c r="AS92" s="1086">
        <v>250096.5</v>
      </c>
      <c r="AT92" s="1086">
        <f t="shared" si="6"/>
        <v>0</v>
      </c>
      <c r="AV92" s="1150">
        <f t="shared" si="7"/>
        <v>0</v>
      </c>
    </row>
    <row r="93" spans="1:48" x14ac:dyDescent="0.2">
      <c r="A93" s="19">
        <v>88</v>
      </c>
      <c r="B93" t="s">
        <v>1393</v>
      </c>
      <c r="C93" t="s">
        <v>1290</v>
      </c>
      <c r="D93" t="s">
        <v>1059</v>
      </c>
      <c r="E93" t="s">
        <v>2124</v>
      </c>
      <c r="F93" t="s">
        <v>2321</v>
      </c>
      <c r="G93" t="s">
        <v>1250</v>
      </c>
      <c r="H93" t="s">
        <v>3822</v>
      </c>
      <c r="I93">
        <v>0</v>
      </c>
      <c r="L93" t="s">
        <v>2564</v>
      </c>
      <c r="M93" s="1086">
        <v>629260.59</v>
      </c>
      <c r="N93" s="1086">
        <v>231198.13</v>
      </c>
      <c r="O93" s="1086">
        <v>0</v>
      </c>
      <c r="P93" s="1086">
        <v>233674.1</v>
      </c>
      <c r="Q93" s="1086">
        <v>26375</v>
      </c>
      <c r="R93" s="1086">
        <v>0</v>
      </c>
      <c r="S93" s="1086">
        <v>0</v>
      </c>
      <c r="T93" s="1086">
        <v>28935.67</v>
      </c>
      <c r="U93" s="1086">
        <v>22768.05</v>
      </c>
      <c r="V93" s="1086">
        <v>0</v>
      </c>
      <c r="W93" s="1086">
        <v>4817.54</v>
      </c>
      <c r="X93" s="1086">
        <v>13673.87</v>
      </c>
      <c r="Y93" s="1086">
        <v>0</v>
      </c>
      <c r="Z93" s="1086">
        <v>0</v>
      </c>
      <c r="AA93" s="1086">
        <v>7819.96</v>
      </c>
      <c r="AB93" s="1086">
        <v>0</v>
      </c>
      <c r="AC93" s="1086">
        <v>522394.53</v>
      </c>
      <c r="AD93" s="1086" t="s">
        <v>248</v>
      </c>
      <c r="AE93" s="1086" t="s">
        <v>3877</v>
      </c>
      <c r="AF93" s="1086">
        <f t="shared" si="4"/>
        <v>522394.52999999997</v>
      </c>
      <c r="AG93" s="1086">
        <f t="shared" si="5"/>
        <v>0</v>
      </c>
      <c r="AQ93" s="1086">
        <v>0</v>
      </c>
      <c r="AR93" s="1086">
        <v>0</v>
      </c>
      <c r="AS93" s="1086">
        <v>522394.52999999997</v>
      </c>
      <c r="AT93" s="1086">
        <f t="shared" si="6"/>
        <v>0</v>
      </c>
      <c r="AV93" s="1150">
        <f t="shared" si="7"/>
        <v>338064.19</v>
      </c>
    </row>
    <row r="94" spans="1:48" x14ac:dyDescent="0.2">
      <c r="A94" s="19">
        <v>89</v>
      </c>
      <c r="B94" t="s">
        <v>1394</v>
      </c>
      <c r="C94" t="s">
        <v>1290</v>
      </c>
      <c r="D94" t="s">
        <v>1059</v>
      </c>
      <c r="E94" t="s">
        <v>2124</v>
      </c>
      <c r="F94" t="s">
        <v>2321</v>
      </c>
      <c r="G94" t="s">
        <v>1250</v>
      </c>
      <c r="H94" t="s">
        <v>3825</v>
      </c>
      <c r="I94" t="s">
        <v>3839</v>
      </c>
      <c r="J94" t="s">
        <v>3257</v>
      </c>
      <c r="K94" t="s">
        <v>3340</v>
      </c>
      <c r="L94" t="s">
        <v>2565</v>
      </c>
      <c r="M94" s="1086">
        <v>731537.97</v>
      </c>
      <c r="N94" s="1086">
        <v>6492.94</v>
      </c>
      <c r="O94" s="1086">
        <v>635411.66</v>
      </c>
      <c r="P94" s="1086">
        <v>90041.41</v>
      </c>
      <c r="Q94" s="1086">
        <v>12351.58</v>
      </c>
      <c r="R94" s="1086">
        <v>40529.06</v>
      </c>
      <c r="S94" s="1086">
        <v>10844.22</v>
      </c>
      <c r="T94" s="1086">
        <v>42395.08</v>
      </c>
      <c r="U94" s="1086">
        <v>38570.32</v>
      </c>
      <c r="V94" s="1086">
        <v>0</v>
      </c>
      <c r="W94" s="1086">
        <v>14581.63</v>
      </c>
      <c r="X94" s="1086">
        <v>6496.61</v>
      </c>
      <c r="Y94" s="1086">
        <v>0</v>
      </c>
      <c r="Z94" s="1086">
        <v>0</v>
      </c>
      <c r="AA94" s="1086">
        <v>361210.89</v>
      </c>
      <c r="AB94" s="1086">
        <v>0</v>
      </c>
      <c r="AC94" s="1086">
        <v>756421.77</v>
      </c>
      <c r="AD94" s="1086" t="s">
        <v>248</v>
      </c>
      <c r="AE94" s="1086" t="s">
        <v>3877</v>
      </c>
      <c r="AF94" s="1086">
        <f t="shared" si="4"/>
        <v>756421.76999999979</v>
      </c>
      <c r="AG94" s="1086">
        <f t="shared" si="5"/>
        <v>0</v>
      </c>
      <c r="AQ94" s="1086">
        <v>0</v>
      </c>
      <c r="AR94" s="1086">
        <v>0</v>
      </c>
      <c r="AS94" s="1086">
        <v>756421.77</v>
      </c>
      <c r="AT94" s="1086">
        <f t="shared" si="6"/>
        <v>0</v>
      </c>
      <c r="AV94" s="1150">
        <f t="shared" si="7"/>
        <v>617020.80000000005</v>
      </c>
    </row>
    <row r="95" spans="1:48" x14ac:dyDescent="0.2">
      <c r="A95" s="19">
        <v>90</v>
      </c>
      <c r="B95" t="s">
        <v>1395</v>
      </c>
      <c r="C95" t="s">
        <v>1290</v>
      </c>
      <c r="D95" t="s">
        <v>1031</v>
      </c>
      <c r="E95" t="s">
        <v>2125</v>
      </c>
      <c r="F95" t="s">
        <v>2322</v>
      </c>
      <c r="G95" t="s">
        <v>3831</v>
      </c>
      <c r="H95" t="s">
        <v>3826</v>
      </c>
      <c r="I95" t="s">
        <v>3839</v>
      </c>
      <c r="J95" t="s">
        <v>3341</v>
      </c>
      <c r="K95" t="s">
        <v>3342</v>
      </c>
      <c r="L95" t="s">
        <v>2566</v>
      </c>
      <c r="M95" s="1086">
        <v>191310.24</v>
      </c>
      <c r="N95" s="1086">
        <v>30750</v>
      </c>
      <c r="O95" s="1086">
        <v>0</v>
      </c>
      <c r="P95" s="1086">
        <v>28038.85</v>
      </c>
      <c r="Q95" s="1086">
        <v>0</v>
      </c>
      <c r="R95" s="1086">
        <v>0</v>
      </c>
      <c r="S95" s="1086">
        <v>0</v>
      </c>
      <c r="T95" s="1086">
        <v>8307.66</v>
      </c>
      <c r="U95" s="1086">
        <v>10710.6</v>
      </c>
      <c r="V95" s="1086">
        <v>0</v>
      </c>
      <c r="W95" s="1086">
        <v>312.5</v>
      </c>
      <c r="X95" s="1086">
        <v>1988.4</v>
      </c>
      <c r="Y95" s="1086">
        <v>0</v>
      </c>
      <c r="Z95" s="1086">
        <v>0</v>
      </c>
      <c r="AA95" s="1086">
        <v>831.25</v>
      </c>
      <c r="AB95" s="1086">
        <v>0</v>
      </c>
      <c r="AC95" s="1086">
        <v>171870.98</v>
      </c>
      <c r="AD95" s="1103" t="s">
        <v>1252</v>
      </c>
      <c r="AE95" s="1086" t="s">
        <v>3879</v>
      </c>
      <c r="AF95" s="1086">
        <f t="shared" si="4"/>
        <v>171870.97999999998</v>
      </c>
      <c r="AG95" s="1086">
        <f t="shared" si="5"/>
        <v>0</v>
      </c>
      <c r="AQ95" s="1086">
        <v>0</v>
      </c>
      <c r="AR95" s="1086">
        <v>0</v>
      </c>
      <c r="AS95" s="1086">
        <v>171870.98</v>
      </c>
      <c r="AT95" s="1086">
        <f t="shared" si="6"/>
        <v>0</v>
      </c>
      <c r="AV95" s="1150">
        <f t="shared" si="7"/>
        <v>50189.259999999995</v>
      </c>
    </row>
    <row r="96" spans="1:48" x14ac:dyDescent="0.2">
      <c r="A96" s="19">
        <v>91</v>
      </c>
      <c r="B96" t="s">
        <v>1396</v>
      </c>
      <c r="C96" t="s">
        <v>1290</v>
      </c>
      <c r="D96" t="s">
        <v>1034</v>
      </c>
      <c r="E96" t="s">
        <v>2126</v>
      </c>
      <c r="F96" t="s">
        <v>2323</v>
      </c>
      <c r="G96" t="s">
        <v>3833</v>
      </c>
      <c r="H96" t="s">
        <v>3826</v>
      </c>
      <c r="I96">
        <v>0</v>
      </c>
      <c r="L96" t="s">
        <v>2567</v>
      </c>
      <c r="M96" s="1086">
        <v>169552.22</v>
      </c>
      <c r="N96" s="1086">
        <v>-19400</v>
      </c>
      <c r="O96" s="1086">
        <v>0</v>
      </c>
      <c r="P96" s="1086">
        <v>0</v>
      </c>
      <c r="Q96" s="1086">
        <v>0</v>
      </c>
      <c r="R96" s="1086">
        <v>0</v>
      </c>
      <c r="S96" s="1086">
        <v>0</v>
      </c>
      <c r="T96" s="1086">
        <v>0</v>
      </c>
      <c r="U96" s="1086">
        <v>13315.21</v>
      </c>
      <c r="V96" s="1086">
        <v>0</v>
      </c>
      <c r="W96" s="1086">
        <v>0</v>
      </c>
      <c r="X96" s="1086">
        <v>0</v>
      </c>
      <c r="Y96" s="1086">
        <v>0</v>
      </c>
      <c r="Z96" s="1086">
        <v>0</v>
      </c>
      <c r="AA96" s="1086">
        <v>-421.75</v>
      </c>
      <c r="AB96" s="1086">
        <v>0</v>
      </c>
      <c r="AC96" s="1086">
        <v>137258.76</v>
      </c>
      <c r="AD96" s="1103" t="s">
        <v>1251</v>
      </c>
      <c r="AE96" s="1086" t="s">
        <v>3880</v>
      </c>
      <c r="AF96" s="1086">
        <f t="shared" si="4"/>
        <v>137258.76</v>
      </c>
      <c r="AG96" s="1086">
        <f t="shared" si="5"/>
        <v>0</v>
      </c>
      <c r="AQ96" s="1086">
        <v>0</v>
      </c>
      <c r="AR96" s="1086">
        <v>0</v>
      </c>
      <c r="AS96" s="1086">
        <v>137258.76</v>
      </c>
      <c r="AT96" s="1086">
        <f t="shared" si="6"/>
        <v>0</v>
      </c>
      <c r="AV96" s="1150">
        <f t="shared" si="7"/>
        <v>12893.46</v>
      </c>
    </row>
    <row r="97" spans="1:48" x14ac:dyDescent="0.2">
      <c r="A97" s="19">
        <v>92</v>
      </c>
      <c r="B97" t="s">
        <v>1397</v>
      </c>
      <c r="C97" t="s">
        <v>1290</v>
      </c>
      <c r="D97" t="s">
        <v>1034</v>
      </c>
      <c r="E97" t="s">
        <v>2126</v>
      </c>
      <c r="F97" t="s">
        <v>2323</v>
      </c>
      <c r="G97" t="s">
        <v>3833</v>
      </c>
      <c r="H97" t="s">
        <v>3825</v>
      </c>
      <c r="I97" t="s">
        <v>3839</v>
      </c>
      <c r="J97" t="s">
        <v>3343</v>
      </c>
      <c r="K97" t="s">
        <v>3344</v>
      </c>
      <c r="L97" t="s">
        <v>2568</v>
      </c>
      <c r="M97" s="1086">
        <v>28899.200000000001</v>
      </c>
      <c r="N97" s="1086">
        <v>244929.52000000002</v>
      </c>
      <c r="O97" s="1086">
        <v>27700</v>
      </c>
      <c r="P97" s="1086">
        <v>0</v>
      </c>
      <c r="Q97" s="1086">
        <v>0</v>
      </c>
      <c r="R97" s="1086">
        <v>0</v>
      </c>
      <c r="S97" s="1086">
        <v>0</v>
      </c>
      <c r="T97" s="1086">
        <v>0</v>
      </c>
      <c r="U97" s="1086">
        <v>59593.43</v>
      </c>
      <c r="V97" s="1086">
        <v>0</v>
      </c>
      <c r="W97" s="1086">
        <v>146315</v>
      </c>
      <c r="X97" s="1086">
        <v>0</v>
      </c>
      <c r="Y97" s="1086">
        <v>0</v>
      </c>
      <c r="Z97" s="1086">
        <v>0</v>
      </c>
      <c r="AA97" s="1086">
        <v>41614.53</v>
      </c>
      <c r="AB97" s="1086">
        <v>0</v>
      </c>
      <c r="AC97" s="1086">
        <v>54005.760000000002</v>
      </c>
      <c r="AD97" s="1103" t="s">
        <v>1251</v>
      </c>
      <c r="AE97" s="1086" t="s">
        <v>3880</v>
      </c>
      <c r="AF97" s="1086">
        <f t="shared" si="4"/>
        <v>54005.760000000038</v>
      </c>
      <c r="AG97" s="1086">
        <f t="shared" si="5"/>
        <v>0</v>
      </c>
      <c r="AQ97" s="1086">
        <v>0</v>
      </c>
      <c r="AR97" s="1086">
        <v>0</v>
      </c>
      <c r="AS97" s="1086">
        <v>54005.760000000002</v>
      </c>
      <c r="AT97" s="1086">
        <f t="shared" si="6"/>
        <v>0</v>
      </c>
      <c r="AV97" s="1150">
        <f t="shared" si="7"/>
        <v>247522.96</v>
      </c>
    </row>
    <row r="98" spans="1:48" x14ac:dyDescent="0.2">
      <c r="A98" s="19">
        <v>93</v>
      </c>
      <c r="B98" t="s">
        <v>1398</v>
      </c>
      <c r="C98" t="s">
        <v>1290</v>
      </c>
      <c r="D98" t="s">
        <v>1034</v>
      </c>
      <c r="E98" t="s">
        <v>2126</v>
      </c>
      <c r="F98" t="s">
        <v>2323</v>
      </c>
      <c r="G98" t="s">
        <v>3833</v>
      </c>
      <c r="H98" t="s">
        <v>3825</v>
      </c>
      <c r="I98">
        <v>0</v>
      </c>
      <c r="L98" t="s">
        <v>2569</v>
      </c>
      <c r="M98" s="1086">
        <v>13012.23</v>
      </c>
      <c r="N98" s="1086">
        <v>1307.6500000000001</v>
      </c>
      <c r="O98" s="1086">
        <v>0</v>
      </c>
      <c r="P98" s="1086">
        <v>0</v>
      </c>
      <c r="Q98" s="1086">
        <v>0</v>
      </c>
      <c r="R98" s="1086">
        <v>0</v>
      </c>
      <c r="S98" s="1086">
        <v>0</v>
      </c>
      <c r="T98" s="1086">
        <v>0</v>
      </c>
      <c r="U98" s="1086">
        <v>1557.01</v>
      </c>
      <c r="V98" s="1086">
        <v>0</v>
      </c>
      <c r="W98" s="1086">
        <v>0</v>
      </c>
      <c r="X98" s="1086">
        <v>0</v>
      </c>
      <c r="Y98" s="1086">
        <v>0</v>
      </c>
      <c r="Z98" s="1086">
        <v>0</v>
      </c>
      <c r="AA98" s="1086">
        <v>65.319999999999993</v>
      </c>
      <c r="AB98" s="1086">
        <v>0</v>
      </c>
      <c r="AC98" s="1086">
        <v>12697.55</v>
      </c>
      <c r="AD98" s="1103" t="s">
        <v>1251</v>
      </c>
      <c r="AE98" s="1086" t="s">
        <v>3880</v>
      </c>
      <c r="AF98" s="1086">
        <f t="shared" si="4"/>
        <v>12697.55</v>
      </c>
      <c r="AG98" s="1086">
        <f t="shared" si="5"/>
        <v>0</v>
      </c>
      <c r="AQ98" s="1086">
        <v>0</v>
      </c>
      <c r="AR98" s="1086">
        <v>0</v>
      </c>
      <c r="AS98" s="1086">
        <v>12697.55</v>
      </c>
      <c r="AT98" s="1086">
        <f t="shared" si="6"/>
        <v>0</v>
      </c>
      <c r="AV98" s="1150">
        <f t="shared" si="7"/>
        <v>1622.33</v>
      </c>
    </row>
    <row r="99" spans="1:48" x14ac:dyDescent="0.2">
      <c r="A99" s="19">
        <v>94</v>
      </c>
      <c r="B99" t="s">
        <v>1399</v>
      </c>
      <c r="C99" t="s">
        <v>1290</v>
      </c>
      <c r="D99" t="s">
        <v>1034</v>
      </c>
      <c r="E99" t="s">
        <v>2126</v>
      </c>
      <c r="F99" t="s">
        <v>2323</v>
      </c>
      <c r="G99" t="s">
        <v>3833</v>
      </c>
      <c r="H99" t="s">
        <v>3825</v>
      </c>
      <c r="I99" t="s">
        <v>3839</v>
      </c>
      <c r="J99" t="s">
        <v>3343</v>
      </c>
      <c r="K99" t="s">
        <v>3345</v>
      </c>
      <c r="L99" t="s">
        <v>2570</v>
      </c>
      <c r="M99" s="1086">
        <v>803593.27</v>
      </c>
      <c r="N99" s="1086">
        <v>1930834.35</v>
      </c>
      <c r="O99" s="1086">
        <v>0</v>
      </c>
      <c r="P99" s="1086">
        <v>904019.07</v>
      </c>
      <c r="Q99" s="1086">
        <v>0</v>
      </c>
      <c r="R99" s="1086">
        <v>153.99</v>
      </c>
      <c r="S99" s="1086">
        <v>0</v>
      </c>
      <c r="T99" s="1086">
        <v>180155.98</v>
      </c>
      <c r="U99" s="1086">
        <v>302014.18</v>
      </c>
      <c r="V99" s="1086">
        <v>0</v>
      </c>
      <c r="W99" s="1086">
        <v>0</v>
      </c>
      <c r="X99" s="1086">
        <v>137405.35</v>
      </c>
      <c r="Y99" s="1086">
        <v>0</v>
      </c>
      <c r="Z99" s="1086">
        <v>0</v>
      </c>
      <c r="AA99" s="1086">
        <v>1166908.52</v>
      </c>
      <c r="AB99" s="1086">
        <v>0</v>
      </c>
      <c r="AC99" s="1086">
        <v>43770.53</v>
      </c>
      <c r="AD99" s="1103" t="s">
        <v>1251</v>
      </c>
      <c r="AE99" s="1086" t="s">
        <v>3880</v>
      </c>
      <c r="AF99" s="1086">
        <f t="shared" si="4"/>
        <v>43770.530000000261</v>
      </c>
      <c r="AG99" s="1086">
        <f t="shared" si="5"/>
        <v>-2.6193447411060333E-10</v>
      </c>
      <c r="AQ99" s="1086">
        <v>0</v>
      </c>
      <c r="AR99" s="1086">
        <v>0</v>
      </c>
      <c r="AS99" s="1086">
        <v>43770.53</v>
      </c>
      <c r="AT99" s="1086">
        <f t="shared" si="6"/>
        <v>0</v>
      </c>
      <c r="AV99" s="1150">
        <f t="shared" si="7"/>
        <v>2690657.09</v>
      </c>
    </row>
    <row r="100" spans="1:48" x14ac:dyDescent="0.2">
      <c r="A100" s="19">
        <v>95</v>
      </c>
      <c r="B100" t="s">
        <v>1400</v>
      </c>
      <c r="C100" t="s">
        <v>1290</v>
      </c>
      <c r="D100" t="s">
        <v>1034</v>
      </c>
      <c r="E100" t="s">
        <v>2126</v>
      </c>
      <c r="F100" t="s">
        <v>2323</v>
      </c>
      <c r="G100" t="s">
        <v>3833</v>
      </c>
      <c r="H100" t="s">
        <v>3825</v>
      </c>
      <c r="I100" t="s">
        <v>3251</v>
      </c>
      <c r="J100" t="s">
        <v>3251</v>
      </c>
      <c r="K100" t="s">
        <v>3251</v>
      </c>
      <c r="L100" t="s">
        <v>2571</v>
      </c>
      <c r="M100" s="1086">
        <v>163694.47</v>
      </c>
      <c r="N100" s="1086">
        <v>1600</v>
      </c>
      <c r="O100" s="1086">
        <v>60500</v>
      </c>
      <c r="P100" s="1086">
        <v>0</v>
      </c>
      <c r="Q100" s="1086">
        <v>0</v>
      </c>
      <c r="R100" s="1086">
        <v>0</v>
      </c>
      <c r="S100" s="1086">
        <v>7418.4</v>
      </c>
      <c r="T100" s="1086">
        <v>136.62</v>
      </c>
      <c r="U100" s="1086">
        <v>38730.879999999997</v>
      </c>
      <c r="V100" s="1086">
        <v>0</v>
      </c>
      <c r="W100" s="1086">
        <v>0</v>
      </c>
      <c r="X100" s="1086">
        <v>126011.31</v>
      </c>
      <c r="Y100" s="1086">
        <v>0</v>
      </c>
      <c r="Z100" s="1086">
        <v>0</v>
      </c>
      <c r="AA100" s="1086">
        <v>56</v>
      </c>
      <c r="AB100" s="1086">
        <v>0</v>
      </c>
      <c r="AC100" s="1086">
        <v>53441.26</v>
      </c>
      <c r="AD100" s="1103" t="s">
        <v>1251</v>
      </c>
      <c r="AE100" s="1086" t="s">
        <v>3880</v>
      </c>
      <c r="AF100" s="1086">
        <f t="shared" si="4"/>
        <v>53441.260000000009</v>
      </c>
      <c r="AG100" s="1086">
        <f t="shared" si="5"/>
        <v>0</v>
      </c>
      <c r="AQ100" s="1086">
        <v>0</v>
      </c>
      <c r="AR100" s="1086">
        <v>0</v>
      </c>
      <c r="AS100" s="1086">
        <v>53441.26</v>
      </c>
      <c r="AT100" s="1086">
        <f t="shared" si="6"/>
        <v>0</v>
      </c>
      <c r="AV100" s="1150">
        <f t="shared" si="7"/>
        <v>172353.21</v>
      </c>
    </row>
    <row r="101" spans="1:48" x14ac:dyDescent="0.2">
      <c r="A101" s="19">
        <v>96</v>
      </c>
      <c r="B101" t="s">
        <v>1401</v>
      </c>
      <c r="C101" t="s">
        <v>1290</v>
      </c>
      <c r="D101" t="s">
        <v>1037</v>
      </c>
      <c r="E101" t="s">
        <v>2127</v>
      </c>
      <c r="F101" t="s">
        <v>2324</v>
      </c>
      <c r="G101" t="s">
        <v>1250</v>
      </c>
      <c r="H101" t="s">
        <v>3822</v>
      </c>
      <c r="I101" t="s">
        <v>3839</v>
      </c>
      <c r="J101" t="s">
        <v>3274</v>
      </c>
      <c r="K101" t="s">
        <v>3346</v>
      </c>
      <c r="L101" t="s">
        <v>2572</v>
      </c>
      <c r="M101" s="1086">
        <v>194333.36</v>
      </c>
      <c r="N101" s="1086">
        <v>2559.4299999999998</v>
      </c>
      <c r="O101" s="1086">
        <v>218300.75</v>
      </c>
      <c r="P101" s="1086">
        <v>39155.15</v>
      </c>
      <c r="Q101" s="1086">
        <v>5128.21</v>
      </c>
      <c r="R101" s="1086">
        <v>0</v>
      </c>
      <c r="S101" s="1086">
        <v>15553.8</v>
      </c>
      <c r="T101" s="1086">
        <v>12462.34</v>
      </c>
      <c r="U101" s="1086">
        <v>138497.43</v>
      </c>
      <c r="V101" s="1086">
        <v>0</v>
      </c>
      <c r="W101" s="1086">
        <v>13266.03</v>
      </c>
      <c r="X101" s="1086">
        <v>31968.93</v>
      </c>
      <c r="Y101" s="1086">
        <v>0</v>
      </c>
      <c r="Z101" s="1086">
        <v>0</v>
      </c>
      <c r="AA101" s="1086">
        <v>36039.58</v>
      </c>
      <c r="AB101" s="1086">
        <v>0</v>
      </c>
      <c r="AC101" s="1086">
        <v>123098.07</v>
      </c>
      <c r="AD101" s="1086" t="s">
        <v>248</v>
      </c>
      <c r="AE101" s="1086" t="s">
        <v>3877</v>
      </c>
      <c r="AF101" s="1086">
        <f t="shared" si="4"/>
        <v>123098.07</v>
      </c>
      <c r="AG101" s="1086">
        <f t="shared" si="5"/>
        <v>0</v>
      </c>
      <c r="AQ101" s="1086">
        <v>24</v>
      </c>
      <c r="AR101" s="1086">
        <v>0</v>
      </c>
      <c r="AS101" s="1086">
        <v>123098.07</v>
      </c>
      <c r="AT101" s="1086">
        <f t="shared" si="6"/>
        <v>0</v>
      </c>
      <c r="AV101" s="1150">
        <f t="shared" si="7"/>
        <v>292095.46999999997</v>
      </c>
    </row>
    <row r="102" spans="1:48" x14ac:dyDescent="0.2">
      <c r="A102" s="19">
        <v>97</v>
      </c>
      <c r="B102" t="s">
        <v>1402</v>
      </c>
      <c r="C102" t="s">
        <v>1290</v>
      </c>
      <c r="D102" t="s">
        <v>1028</v>
      </c>
      <c r="E102" t="s">
        <v>2128</v>
      </c>
      <c r="F102" t="s">
        <v>2325</v>
      </c>
      <c r="G102" t="s">
        <v>1250</v>
      </c>
      <c r="H102" t="s">
        <v>3825</v>
      </c>
      <c r="I102" t="s">
        <v>3839</v>
      </c>
      <c r="J102" t="s">
        <v>3255</v>
      </c>
      <c r="K102" t="s">
        <v>3347</v>
      </c>
      <c r="L102" t="s">
        <v>2573</v>
      </c>
      <c r="M102" s="1086">
        <v>82608.570000000007</v>
      </c>
      <c r="N102" s="1086">
        <v>1470</v>
      </c>
      <c r="O102" s="1086">
        <v>61889.65</v>
      </c>
      <c r="P102" s="1086">
        <v>0</v>
      </c>
      <c r="Q102" s="1086">
        <v>0</v>
      </c>
      <c r="R102" s="1086">
        <v>0</v>
      </c>
      <c r="S102" s="1086">
        <v>0</v>
      </c>
      <c r="T102" s="1086">
        <v>0</v>
      </c>
      <c r="U102" s="1086">
        <v>20963.54</v>
      </c>
      <c r="V102" s="1086">
        <v>0</v>
      </c>
      <c r="W102" s="1086">
        <v>4739.0600000000004</v>
      </c>
      <c r="X102" s="1086">
        <v>29535.1</v>
      </c>
      <c r="Y102" s="1086">
        <v>-9100</v>
      </c>
      <c r="Z102" s="1086">
        <v>0</v>
      </c>
      <c r="AA102" s="1086">
        <v>5614.98</v>
      </c>
      <c r="AB102" s="1086">
        <v>0</v>
      </c>
      <c r="AC102" s="1086">
        <v>94215.54</v>
      </c>
      <c r="AD102" s="1086" t="s">
        <v>248</v>
      </c>
      <c r="AE102" s="1086" t="s">
        <v>3877</v>
      </c>
      <c r="AF102" s="1086">
        <f t="shared" si="4"/>
        <v>94215.540000000008</v>
      </c>
      <c r="AG102" s="1086">
        <f t="shared" si="5"/>
        <v>0</v>
      </c>
      <c r="AQ102" s="1086">
        <v>0</v>
      </c>
      <c r="AR102" s="1086">
        <v>0</v>
      </c>
      <c r="AS102" s="1086">
        <v>94215.54</v>
      </c>
      <c r="AT102" s="1086">
        <f t="shared" si="6"/>
        <v>0</v>
      </c>
      <c r="AV102" s="1150">
        <f t="shared" si="7"/>
        <v>51752.679999999993</v>
      </c>
    </row>
    <row r="103" spans="1:48" x14ac:dyDescent="0.2">
      <c r="A103" s="19">
        <v>98</v>
      </c>
      <c r="B103" t="s">
        <v>1403</v>
      </c>
      <c r="C103" t="s">
        <v>1290</v>
      </c>
      <c r="D103" t="s">
        <v>1062</v>
      </c>
      <c r="E103" t="s">
        <v>2129</v>
      </c>
      <c r="F103" t="s">
        <v>2326</v>
      </c>
      <c r="G103" t="s">
        <v>1249</v>
      </c>
      <c r="H103" t="s">
        <v>3827</v>
      </c>
      <c r="I103">
        <v>0</v>
      </c>
      <c r="L103" t="s">
        <v>2574</v>
      </c>
      <c r="M103" s="1086">
        <v>1675730.53</v>
      </c>
      <c r="N103" s="1086">
        <v>0</v>
      </c>
      <c r="O103" s="1086">
        <v>0</v>
      </c>
      <c r="P103" s="1086">
        <v>1127484.69</v>
      </c>
      <c r="Q103" s="1086">
        <v>0</v>
      </c>
      <c r="R103" s="1086">
        <v>124000.66</v>
      </c>
      <c r="S103" s="1086">
        <v>0</v>
      </c>
      <c r="T103" s="1086">
        <v>379601.4</v>
      </c>
      <c r="U103" s="1086">
        <v>3434.27</v>
      </c>
      <c r="V103" s="1086">
        <v>0</v>
      </c>
      <c r="W103" s="1086">
        <v>0</v>
      </c>
      <c r="X103" s="1086">
        <v>0</v>
      </c>
      <c r="Y103" s="1086">
        <v>0</v>
      </c>
      <c r="Z103" s="1086">
        <v>0</v>
      </c>
      <c r="AA103" s="1086">
        <v>0</v>
      </c>
      <c r="AB103" s="1086">
        <v>0</v>
      </c>
      <c r="AC103" s="1086">
        <v>41209.51</v>
      </c>
      <c r="AD103" s="1086" t="s">
        <v>248</v>
      </c>
      <c r="AE103" s="1086" t="s">
        <v>3877</v>
      </c>
      <c r="AF103" s="1086">
        <f t="shared" si="4"/>
        <v>41209.510000000009</v>
      </c>
      <c r="AG103" s="1086">
        <f t="shared" si="5"/>
        <v>0</v>
      </c>
      <c r="AQ103" s="1086">
        <v>0</v>
      </c>
      <c r="AR103" s="1086">
        <v>0</v>
      </c>
      <c r="AS103" s="1086">
        <v>41209.51</v>
      </c>
      <c r="AT103" s="1086">
        <f t="shared" si="6"/>
        <v>0</v>
      </c>
      <c r="AV103" s="1150">
        <f t="shared" si="7"/>
        <v>1634521.02</v>
      </c>
    </row>
    <row r="104" spans="1:48" x14ac:dyDescent="0.2">
      <c r="A104" s="19">
        <v>99</v>
      </c>
      <c r="B104" t="s">
        <v>1404</v>
      </c>
      <c r="C104" t="s">
        <v>1290</v>
      </c>
      <c r="D104" t="s">
        <v>1062</v>
      </c>
      <c r="E104" t="s">
        <v>2129</v>
      </c>
      <c r="F104" t="s">
        <v>2326</v>
      </c>
      <c r="G104" t="s">
        <v>1249</v>
      </c>
      <c r="H104" t="s">
        <v>3827</v>
      </c>
      <c r="I104">
        <v>0</v>
      </c>
      <c r="L104" t="s">
        <v>2575</v>
      </c>
      <c r="M104" s="1086">
        <v>0</v>
      </c>
      <c r="N104" s="1086">
        <v>603441.14</v>
      </c>
      <c r="O104" s="1086">
        <v>0</v>
      </c>
      <c r="P104" s="1086">
        <v>0</v>
      </c>
      <c r="Q104" s="1086">
        <v>0</v>
      </c>
      <c r="R104" s="1086">
        <v>0</v>
      </c>
      <c r="S104" s="1086">
        <v>0</v>
      </c>
      <c r="T104" s="1086">
        <v>0</v>
      </c>
      <c r="U104" s="1086">
        <v>603441.14</v>
      </c>
      <c r="V104" s="1086">
        <v>0</v>
      </c>
      <c r="W104" s="1086">
        <v>0</v>
      </c>
      <c r="X104" s="1086">
        <v>0</v>
      </c>
      <c r="Y104" s="1086">
        <v>0</v>
      </c>
      <c r="Z104" s="1086">
        <v>0</v>
      </c>
      <c r="AA104" s="1086">
        <v>0</v>
      </c>
      <c r="AB104" s="1086">
        <v>0</v>
      </c>
      <c r="AC104" s="1086">
        <v>-149189.07999999999</v>
      </c>
      <c r="AD104" s="1086" t="s">
        <v>248</v>
      </c>
      <c r="AE104" s="1086" t="s">
        <v>3877</v>
      </c>
      <c r="AF104" s="1086">
        <f t="shared" si="4"/>
        <v>-149189.07999999999</v>
      </c>
      <c r="AG104" s="1086">
        <f t="shared" si="5"/>
        <v>0</v>
      </c>
      <c r="AQ104" s="1086">
        <v>149189.07999999999</v>
      </c>
      <c r="AR104" s="1086">
        <v>0</v>
      </c>
      <c r="AS104" s="1086">
        <v>-149189.07999999999</v>
      </c>
      <c r="AT104" s="1086">
        <f t="shared" si="6"/>
        <v>0</v>
      </c>
      <c r="AV104" s="1150">
        <f t="shared" si="7"/>
        <v>752630.22</v>
      </c>
    </row>
    <row r="105" spans="1:48" x14ac:dyDescent="0.2">
      <c r="A105" s="19">
        <v>100</v>
      </c>
      <c r="B105" t="s">
        <v>1405</v>
      </c>
      <c r="C105" t="s">
        <v>1290</v>
      </c>
      <c r="D105" t="s">
        <v>1036</v>
      </c>
      <c r="E105" t="s">
        <v>2130</v>
      </c>
      <c r="F105" t="s">
        <v>2327</v>
      </c>
      <c r="G105" t="s">
        <v>1250</v>
      </c>
      <c r="H105" t="s">
        <v>3822</v>
      </c>
      <c r="I105" t="s">
        <v>3839</v>
      </c>
      <c r="J105" t="s">
        <v>3263</v>
      </c>
      <c r="K105" t="s">
        <v>3348</v>
      </c>
      <c r="L105" t="s">
        <v>2576</v>
      </c>
      <c r="M105" s="1086">
        <v>137858.1</v>
      </c>
      <c r="N105" s="1086">
        <v>663312.31000000006</v>
      </c>
      <c r="O105" s="1086">
        <v>0</v>
      </c>
      <c r="P105" s="1086">
        <v>114910.45</v>
      </c>
      <c r="Q105" s="1086">
        <v>0</v>
      </c>
      <c r="R105" s="1086">
        <v>0</v>
      </c>
      <c r="S105" s="1086">
        <v>0</v>
      </c>
      <c r="T105" s="1086">
        <v>12751.45</v>
      </c>
      <c r="U105" s="1086">
        <v>150226.92000000001</v>
      </c>
      <c r="V105" s="1086">
        <v>0</v>
      </c>
      <c r="W105" s="1086">
        <v>0</v>
      </c>
      <c r="X105" s="1086">
        <v>875.9</v>
      </c>
      <c r="Y105" s="1086">
        <v>0</v>
      </c>
      <c r="Z105" s="1086">
        <v>0</v>
      </c>
      <c r="AA105" s="1086">
        <v>94858.84</v>
      </c>
      <c r="AB105" s="1086">
        <v>0</v>
      </c>
      <c r="AC105" s="1086">
        <v>427546.85</v>
      </c>
      <c r="AD105" s="1086" t="s">
        <v>248</v>
      </c>
      <c r="AE105" s="1086" t="s">
        <v>3877</v>
      </c>
      <c r="AF105" s="1086">
        <f t="shared" si="4"/>
        <v>427546.85</v>
      </c>
      <c r="AG105" s="1086">
        <f t="shared" si="5"/>
        <v>0</v>
      </c>
      <c r="AQ105" s="1086">
        <v>0</v>
      </c>
      <c r="AR105" s="1086">
        <v>0</v>
      </c>
      <c r="AS105" s="1086">
        <v>427546.85</v>
      </c>
      <c r="AT105" s="1086">
        <f t="shared" si="6"/>
        <v>0</v>
      </c>
      <c r="AV105" s="1150">
        <f t="shared" si="7"/>
        <v>373623.56000000006</v>
      </c>
    </row>
    <row r="106" spans="1:48" x14ac:dyDescent="0.2">
      <c r="A106" s="19">
        <v>101</v>
      </c>
      <c r="B106" t="s">
        <v>1406</v>
      </c>
      <c r="C106" t="s">
        <v>1290</v>
      </c>
      <c r="D106" t="s">
        <v>1056</v>
      </c>
      <c r="E106" t="s">
        <v>2131</v>
      </c>
      <c r="F106" t="s">
        <v>2328</v>
      </c>
      <c r="G106" t="s">
        <v>1256</v>
      </c>
      <c r="H106" t="s">
        <v>3828</v>
      </c>
      <c r="I106" t="s">
        <v>3839</v>
      </c>
      <c r="J106" t="s">
        <v>3349</v>
      </c>
      <c r="K106" t="s">
        <v>3350</v>
      </c>
      <c r="L106" t="s">
        <v>2577</v>
      </c>
      <c r="M106" s="1086">
        <v>233979.39</v>
      </c>
      <c r="N106" s="1086">
        <v>410000</v>
      </c>
      <c r="O106" s="1086">
        <v>32787.839999999997</v>
      </c>
      <c r="P106" s="1086">
        <v>113016.95</v>
      </c>
      <c r="Q106" s="1086">
        <v>0</v>
      </c>
      <c r="R106" s="1086">
        <v>108404.11</v>
      </c>
      <c r="S106" s="1086">
        <v>19090.59</v>
      </c>
      <c r="T106" s="1086">
        <v>72314.66</v>
      </c>
      <c r="U106" s="1086">
        <v>26265.66</v>
      </c>
      <c r="V106" s="1086">
        <v>0</v>
      </c>
      <c r="W106" s="1086">
        <v>0</v>
      </c>
      <c r="X106" s="1086">
        <v>0</v>
      </c>
      <c r="Y106" s="1086">
        <v>0</v>
      </c>
      <c r="Z106" s="1086">
        <v>0</v>
      </c>
      <c r="AA106" s="1086">
        <v>14350</v>
      </c>
      <c r="AB106" s="1086">
        <v>0</v>
      </c>
      <c r="AC106" s="1086">
        <v>323325.26</v>
      </c>
      <c r="AD106" s="1086" t="s">
        <v>248</v>
      </c>
      <c r="AE106" s="1086" t="s">
        <v>3877</v>
      </c>
      <c r="AF106" s="1086">
        <f t="shared" si="4"/>
        <v>323325.26</v>
      </c>
      <c r="AG106" s="1086">
        <f t="shared" si="5"/>
        <v>0</v>
      </c>
      <c r="AQ106" s="1086">
        <v>0</v>
      </c>
      <c r="AR106" s="1086">
        <v>0</v>
      </c>
      <c r="AS106" s="1086">
        <v>323325.26</v>
      </c>
      <c r="AT106" s="1086">
        <f t="shared" si="6"/>
        <v>0</v>
      </c>
      <c r="AV106" s="1150">
        <f t="shared" si="7"/>
        <v>353441.97</v>
      </c>
    </row>
    <row r="107" spans="1:48" x14ac:dyDescent="0.2">
      <c r="A107" s="19">
        <v>102</v>
      </c>
      <c r="B107" t="s">
        <v>1407</v>
      </c>
      <c r="C107" t="s">
        <v>1290</v>
      </c>
      <c r="D107" t="s">
        <v>1056</v>
      </c>
      <c r="E107" t="s">
        <v>2131</v>
      </c>
      <c r="F107" t="s">
        <v>2328</v>
      </c>
      <c r="G107" t="s">
        <v>1256</v>
      </c>
      <c r="H107" t="s">
        <v>3824</v>
      </c>
      <c r="I107" t="s">
        <v>3839</v>
      </c>
      <c r="J107" t="s">
        <v>3349</v>
      </c>
      <c r="K107" t="s">
        <v>3351</v>
      </c>
      <c r="L107" t="s">
        <v>2578</v>
      </c>
      <c r="M107" s="1086">
        <v>105321.38</v>
      </c>
      <c r="N107" s="1086">
        <v>111686.42</v>
      </c>
      <c r="O107" s="1086">
        <v>0</v>
      </c>
      <c r="P107" s="1086">
        <v>0</v>
      </c>
      <c r="Q107" s="1086">
        <v>0</v>
      </c>
      <c r="R107" s="1086">
        <v>0</v>
      </c>
      <c r="S107" s="1086">
        <v>31998.93</v>
      </c>
      <c r="T107" s="1086">
        <v>820.6</v>
      </c>
      <c r="U107" s="1086">
        <v>80512.899999999994</v>
      </c>
      <c r="V107" s="1086">
        <v>0</v>
      </c>
      <c r="W107" s="1086">
        <v>0</v>
      </c>
      <c r="X107" s="1086">
        <v>1589.93</v>
      </c>
      <c r="Y107" s="1086">
        <v>0</v>
      </c>
      <c r="Z107" s="1086">
        <v>0</v>
      </c>
      <c r="AA107" s="1086">
        <v>3973.06</v>
      </c>
      <c r="AB107" s="1086">
        <v>0</v>
      </c>
      <c r="AC107" s="1086">
        <v>98112.38</v>
      </c>
      <c r="AD107" s="1086" t="s">
        <v>248</v>
      </c>
      <c r="AE107" s="1086" t="s">
        <v>3877</v>
      </c>
      <c r="AF107" s="1086">
        <f t="shared" si="4"/>
        <v>98112.38</v>
      </c>
      <c r="AG107" s="1086">
        <f t="shared" si="5"/>
        <v>0</v>
      </c>
      <c r="AQ107" s="1086">
        <v>0</v>
      </c>
      <c r="AR107" s="1086">
        <v>0</v>
      </c>
      <c r="AS107" s="1086">
        <v>98112.37999999999</v>
      </c>
      <c r="AT107" s="1086">
        <f t="shared" si="6"/>
        <v>0</v>
      </c>
      <c r="AV107" s="1150">
        <f t="shared" si="7"/>
        <v>118895.41999999998</v>
      </c>
    </row>
    <row r="108" spans="1:48" x14ac:dyDescent="0.2">
      <c r="A108" s="19">
        <v>103</v>
      </c>
      <c r="B108" t="s">
        <v>1408</v>
      </c>
      <c r="C108" t="s">
        <v>1290</v>
      </c>
      <c r="D108" t="s">
        <v>1056</v>
      </c>
      <c r="E108" t="s">
        <v>2131</v>
      </c>
      <c r="F108" t="s">
        <v>2328</v>
      </c>
      <c r="G108" t="s">
        <v>1256</v>
      </c>
      <c r="H108" t="s">
        <v>3828</v>
      </c>
      <c r="I108" t="s">
        <v>3839</v>
      </c>
      <c r="J108" t="s">
        <v>3349</v>
      </c>
      <c r="K108" t="s">
        <v>3352</v>
      </c>
      <c r="L108" t="s">
        <v>2579</v>
      </c>
      <c r="M108" s="1086">
        <v>83460.23</v>
      </c>
      <c r="N108" s="1086">
        <v>450000</v>
      </c>
      <c r="O108" s="1086">
        <v>0</v>
      </c>
      <c r="P108" s="1086">
        <v>175811.49</v>
      </c>
      <c r="Q108" s="1086">
        <v>0</v>
      </c>
      <c r="R108" s="1086">
        <v>0</v>
      </c>
      <c r="S108" s="1086">
        <v>11692.5</v>
      </c>
      <c r="T108" s="1086">
        <v>58239.87</v>
      </c>
      <c r="U108" s="1086">
        <v>50262.55</v>
      </c>
      <c r="V108" s="1086">
        <v>0</v>
      </c>
      <c r="W108" s="1086">
        <v>0</v>
      </c>
      <c r="X108" s="1086">
        <v>0</v>
      </c>
      <c r="Y108" s="1086">
        <v>0</v>
      </c>
      <c r="Z108" s="1086">
        <v>0</v>
      </c>
      <c r="AA108" s="1086">
        <v>15750</v>
      </c>
      <c r="AB108" s="1086">
        <v>0</v>
      </c>
      <c r="AC108" s="1086">
        <v>221703.82</v>
      </c>
      <c r="AD108" s="1086" t="s">
        <v>248</v>
      </c>
      <c r="AE108" s="1086" t="s">
        <v>3877</v>
      </c>
      <c r="AF108" s="1086">
        <f t="shared" si="4"/>
        <v>221703.82</v>
      </c>
      <c r="AG108" s="1086">
        <f t="shared" si="5"/>
        <v>0</v>
      </c>
      <c r="AQ108" s="1086">
        <v>0</v>
      </c>
      <c r="AR108" s="1086">
        <v>0</v>
      </c>
      <c r="AS108" s="1086">
        <v>221703.82</v>
      </c>
      <c r="AT108" s="1086">
        <f t="shared" si="6"/>
        <v>0</v>
      </c>
      <c r="AV108" s="1150">
        <f t="shared" si="7"/>
        <v>311756.40999999997</v>
      </c>
    </row>
    <row r="109" spans="1:48" x14ac:dyDescent="0.2">
      <c r="A109" s="19">
        <v>104</v>
      </c>
      <c r="B109" t="s">
        <v>1409</v>
      </c>
      <c r="C109" t="s">
        <v>1290</v>
      </c>
      <c r="D109" t="s">
        <v>1056</v>
      </c>
      <c r="E109" t="s">
        <v>2131</v>
      </c>
      <c r="F109" t="s">
        <v>2328</v>
      </c>
      <c r="G109" t="s">
        <v>1256</v>
      </c>
      <c r="H109" t="s">
        <v>3828</v>
      </c>
      <c r="I109" t="s">
        <v>3839</v>
      </c>
      <c r="J109" t="s">
        <v>3349</v>
      </c>
      <c r="K109" t="s">
        <v>3353</v>
      </c>
      <c r="L109" t="s">
        <v>2580</v>
      </c>
      <c r="M109" s="1086">
        <v>169030.05</v>
      </c>
      <c r="N109" s="1086">
        <v>1336509.2600000002</v>
      </c>
      <c r="O109" s="1086">
        <v>0</v>
      </c>
      <c r="P109" s="1086">
        <v>596201.81000000006</v>
      </c>
      <c r="Q109" s="1086">
        <v>0</v>
      </c>
      <c r="R109" s="1086">
        <v>37868.97</v>
      </c>
      <c r="S109" s="1086">
        <v>75436.63</v>
      </c>
      <c r="T109" s="1086">
        <v>204203.57</v>
      </c>
      <c r="U109" s="1086">
        <v>76355.990000000005</v>
      </c>
      <c r="V109" s="1086">
        <v>0</v>
      </c>
      <c r="W109" s="1086">
        <v>0</v>
      </c>
      <c r="X109" s="1086">
        <v>5227.88</v>
      </c>
      <c r="Y109" s="1086">
        <v>0</v>
      </c>
      <c r="Z109" s="1086">
        <v>0</v>
      </c>
      <c r="AA109" s="1086">
        <v>347125.48</v>
      </c>
      <c r="AB109" s="1086">
        <v>0</v>
      </c>
      <c r="AC109" s="1086">
        <v>163118.98000000001</v>
      </c>
      <c r="AD109" s="1086" t="s">
        <v>248</v>
      </c>
      <c r="AE109" s="1086" t="s">
        <v>3877</v>
      </c>
      <c r="AF109" s="1086">
        <f t="shared" si="4"/>
        <v>163118.98000000021</v>
      </c>
      <c r="AG109" s="1086">
        <f t="shared" si="5"/>
        <v>0</v>
      </c>
      <c r="AQ109" s="1086">
        <v>0</v>
      </c>
      <c r="AR109" s="1086">
        <v>0</v>
      </c>
      <c r="AS109" s="1086">
        <v>163118.98000000001</v>
      </c>
      <c r="AT109" s="1086">
        <f t="shared" si="6"/>
        <v>0</v>
      </c>
      <c r="AV109" s="1150">
        <f t="shared" si="7"/>
        <v>1342420.33</v>
      </c>
    </row>
    <row r="110" spans="1:48" x14ac:dyDescent="0.2">
      <c r="A110" s="19">
        <v>105</v>
      </c>
      <c r="B110" t="s">
        <v>1410</v>
      </c>
      <c r="C110" t="s">
        <v>1290</v>
      </c>
      <c r="D110" t="s">
        <v>1039</v>
      </c>
      <c r="E110" t="s">
        <v>2132</v>
      </c>
      <c r="F110" t="s">
        <v>2329</v>
      </c>
      <c r="G110" t="s">
        <v>1250</v>
      </c>
      <c r="H110" t="s">
        <v>3822</v>
      </c>
      <c r="I110" t="s">
        <v>3839</v>
      </c>
      <c r="J110" t="s">
        <v>3266</v>
      </c>
      <c r="K110" t="s">
        <v>3354</v>
      </c>
      <c r="L110" t="s">
        <v>2581</v>
      </c>
      <c r="M110" s="1086">
        <v>-546.39</v>
      </c>
      <c r="N110" s="1086">
        <v>160177.69</v>
      </c>
      <c r="O110" s="1086">
        <v>4284</v>
      </c>
      <c r="P110" s="1086">
        <v>3999.99</v>
      </c>
      <c r="Q110" s="1086">
        <v>0</v>
      </c>
      <c r="R110" s="1086">
        <v>0</v>
      </c>
      <c r="S110" s="1086">
        <v>166.25</v>
      </c>
      <c r="T110" s="1086">
        <v>111.66</v>
      </c>
      <c r="U110" s="1086">
        <v>54138.9</v>
      </c>
      <c r="V110" s="1086">
        <v>0</v>
      </c>
      <c r="W110" s="1086">
        <v>601.26</v>
      </c>
      <c r="X110" s="1086">
        <v>21881.11</v>
      </c>
      <c r="Y110" s="1086">
        <v>-6489</v>
      </c>
      <c r="Z110" s="1086">
        <v>0</v>
      </c>
      <c r="AA110" s="1086">
        <v>3429.09</v>
      </c>
      <c r="AB110" s="1086">
        <v>0</v>
      </c>
      <c r="AC110" s="1086">
        <v>86076.04</v>
      </c>
      <c r="AD110" s="1086" t="s">
        <v>248</v>
      </c>
      <c r="AE110" s="1086" t="s">
        <v>3877</v>
      </c>
      <c r="AF110" s="1086">
        <f t="shared" si="4"/>
        <v>86076.039999999979</v>
      </c>
      <c r="AG110" s="1086">
        <f t="shared" si="5"/>
        <v>0</v>
      </c>
      <c r="AQ110" s="1086">
        <v>0</v>
      </c>
      <c r="AR110" s="1086">
        <v>0</v>
      </c>
      <c r="AS110" s="1086">
        <v>86076.040000000008</v>
      </c>
      <c r="AT110" s="1086">
        <f t="shared" si="6"/>
        <v>0</v>
      </c>
      <c r="AV110" s="1150">
        <f t="shared" si="7"/>
        <v>77839.260000000009</v>
      </c>
    </row>
    <row r="111" spans="1:48" x14ac:dyDescent="0.2">
      <c r="A111" s="19">
        <v>106</v>
      </c>
      <c r="B111" t="s">
        <v>1411</v>
      </c>
      <c r="C111" s="167" t="s">
        <v>3908</v>
      </c>
      <c r="D111" t="s">
        <v>1039</v>
      </c>
      <c r="E111" t="s">
        <v>2132</v>
      </c>
      <c r="F111" t="s">
        <v>2329</v>
      </c>
      <c r="G111" t="s">
        <v>1250</v>
      </c>
      <c r="H111" t="s">
        <v>3825</v>
      </c>
      <c r="I111">
        <v>0</v>
      </c>
      <c r="L111" t="s">
        <v>2582</v>
      </c>
      <c r="M111" s="1086">
        <v>127.58</v>
      </c>
      <c r="N111" s="1086">
        <v>0</v>
      </c>
      <c r="O111" s="1086">
        <v>0</v>
      </c>
      <c r="P111" s="1086">
        <v>0</v>
      </c>
      <c r="Q111" s="1086">
        <v>0</v>
      </c>
      <c r="R111" s="1086">
        <v>0</v>
      </c>
      <c r="S111" s="1086">
        <v>0</v>
      </c>
      <c r="T111" s="1086">
        <v>0</v>
      </c>
      <c r="U111" s="1086">
        <v>127.53</v>
      </c>
      <c r="V111" s="1086">
        <v>0</v>
      </c>
      <c r="W111" s="1086">
        <v>0</v>
      </c>
      <c r="X111" s="1086">
        <v>0</v>
      </c>
      <c r="Y111" s="1086">
        <v>0</v>
      </c>
      <c r="Z111" s="1086">
        <v>0</v>
      </c>
      <c r="AA111" s="1086">
        <v>0</v>
      </c>
      <c r="AB111" s="1086">
        <v>0</v>
      </c>
      <c r="AC111" s="1086">
        <v>0.05</v>
      </c>
      <c r="AD111" s="1086" t="s">
        <v>248</v>
      </c>
      <c r="AE111" s="1086" t="s">
        <v>3877</v>
      </c>
      <c r="AF111" s="1086">
        <f t="shared" si="4"/>
        <v>4.9999999999997158E-2</v>
      </c>
      <c r="AG111" s="1086">
        <f t="shared" si="5"/>
        <v>2.8449465006019636E-15</v>
      </c>
      <c r="AQ111" s="1086">
        <v>0</v>
      </c>
      <c r="AR111" s="1086">
        <v>0</v>
      </c>
      <c r="AS111" s="1086">
        <v>0.05</v>
      </c>
      <c r="AT111" s="1086">
        <f t="shared" si="6"/>
        <v>0</v>
      </c>
      <c r="AV111" s="1150">
        <f t="shared" si="7"/>
        <v>127.53</v>
      </c>
    </row>
    <row r="112" spans="1:48" x14ac:dyDescent="0.2">
      <c r="A112" s="19">
        <v>109</v>
      </c>
      <c r="B112" t="s">
        <v>1413</v>
      </c>
      <c r="C112" t="s">
        <v>1290</v>
      </c>
      <c r="D112" t="s">
        <v>1005</v>
      </c>
      <c r="E112" t="s">
        <v>2133</v>
      </c>
      <c r="F112" t="s">
        <v>2330</v>
      </c>
      <c r="G112" t="s">
        <v>1250</v>
      </c>
      <c r="H112" t="s">
        <v>3823</v>
      </c>
      <c r="I112" t="s">
        <v>3251</v>
      </c>
      <c r="J112" t="s">
        <v>3251</v>
      </c>
      <c r="K112" t="s">
        <v>3251</v>
      </c>
      <c r="L112" t="s">
        <v>2584</v>
      </c>
      <c r="M112" s="1086">
        <v>50000</v>
      </c>
      <c r="N112" s="1086">
        <v>0</v>
      </c>
      <c r="O112" s="1086">
        <v>50000</v>
      </c>
      <c r="P112" s="1086">
        <v>0</v>
      </c>
      <c r="Q112" s="1086">
        <v>0</v>
      </c>
      <c r="R112" s="1086">
        <v>0</v>
      </c>
      <c r="S112" s="1086">
        <v>0</v>
      </c>
      <c r="T112" s="1086">
        <v>0</v>
      </c>
      <c r="U112" s="1086">
        <v>183</v>
      </c>
      <c r="V112" s="1086">
        <v>0</v>
      </c>
      <c r="W112" s="1086">
        <v>0</v>
      </c>
      <c r="X112" s="1086">
        <v>0</v>
      </c>
      <c r="Y112" s="1086">
        <v>0</v>
      </c>
      <c r="Z112" s="1086">
        <v>0</v>
      </c>
      <c r="AA112" s="1086">
        <v>0</v>
      </c>
      <c r="AB112" s="1086">
        <v>0</v>
      </c>
      <c r="AC112" s="1086">
        <v>99817</v>
      </c>
      <c r="AD112" s="1086" t="s">
        <v>248</v>
      </c>
      <c r="AE112" s="1086" t="s">
        <v>3877</v>
      </c>
      <c r="AF112" s="1086">
        <f t="shared" si="4"/>
        <v>99817</v>
      </c>
      <c r="AG112" s="1086">
        <f t="shared" si="5"/>
        <v>0</v>
      </c>
      <c r="AQ112" s="1086">
        <v>0</v>
      </c>
      <c r="AR112" s="1086">
        <v>0</v>
      </c>
      <c r="AS112" s="1086">
        <v>99817</v>
      </c>
      <c r="AT112" s="1086">
        <f t="shared" si="6"/>
        <v>0</v>
      </c>
      <c r="AV112" s="1150">
        <f t="shared" si="7"/>
        <v>183</v>
      </c>
    </row>
    <row r="113" spans="1:48" x14ac:dyDescent="0.2">
      <c r="A113" s="19">
        <v>110</v>
      </c>
      <c r="B113" t="s">
        <v>1414</v>
      </c>
      <c r="C113" t="s">
        <v>1290</v>
      </c>
      <c r="D113" t="s">
        <v>1026</v>
      </c>
      <c r="E113" t="s">
        <v>2134</v>
      </c>
      <c r="F113" t="s">
        <v>2331</v>
      </c>
      <c r="G113" t="s">
        <v>1250</v>
      </c>
      <c r="H113" t="s">
        <v>3823</v>
      </c>
      <c r="I113" t="s">
        <v>3839</v>
      </c>
      <c r="J113" t="s">
        <v>3357</v>
      </c>
      <c r="K113" t="s">
        <v>3358</v>
      </c>
      <c r="L113" t="s">
        <v>2585</v>
      </c>
      <c r="M113" s="1086">
        <v>3.55</v>
      </c>
      <c r="N113" s="1086">
        <v>0</v>
      </c>
      <c r="O113" s="1086">
        <v>2793.48</v>
      </c>
      <c r="P113" s="1086">
        <v>0</v>
      </c>
      <c r="Q113" s="1086">
        <v>0</v>
      </c>
      <c r="R113" s="1086">
        <v>0</v>
      </c>
      <c r="S113" s="1086">
        <v>0</v>
      </c>
      <c r="T113" s="1086">
        <v>0</v>
      </c>
      <c r="U113" s="1086">
        <v>0</v>
      </c>
      <c r="V113" s="1086">
        <v>0</v>
      </c>
      <c r="W113" s="1086">
        <v>0</v>
      </c>
      <c r="X113" s="1086">
        <v>0</v>
      </c>
      <c r="Y113" s="1086">
        <v>0</v>
      </c>
      <c r="Z113" s="1086">
        <v>0</v>
      </c>
      <c r="AA113" s="1086">
        <v>0</v>
      </c>
      <c r="AB113" s="1086">
        <v>0</v>
      </c>
      <c r="AC113" s="1086">
        <v>2797.03</v>
      </c>
      <c r="AD113" s="1086" t="s">
        <v>248</v>
      </c>
      <c r="AE113" s="1086" t="s">
        <v>3877</v>
      </c>
      <c r="AF113" s="1086">
        <f t="shared" si="4"/>
        <v>2797.03</v>
      </c>
      <c r="AG113" s="1086">
        <f t="shared" si="5"/>
        <v>0</v>
      </c>
      <c r="AQ113" s="1086">
        <v>0</v>
      </c>
      <c r="AR113" s="1086">
        <v>0</v>
      </c>
      <c r="AS113" s="1086">
        <v>2797.03</v>
      </c>
      <c r="AT113" s="1086">
        <f t="shared" si="6"/>
        <v>0</v>
      </c>
      <c r="AV113" s="1150">
        <f t="shared" si="7"/>
        <v>0</v>
      </c>
    </row>
    <row r="114" spans="1:48" x14ac:dyDescent="0.2">
      <c r="A114" s="19">
        <v>111</v>
      </c>
      <c r="B114" t="s">
        <v>1415</v>
      </c>
      <c r="C114" t="s">
        <v>1290</v>
      </c>
      <c r="D114" t="s">
        <v>1026</v>
      </c>
      <c r="E114" t="s">
        <v>2134</v>
      </c>
      <c r="F114" t="s">
        <v>2331</v>
      </c>
      <c r="G114" t="s">
        <v>1250</v>
      </c>
      <c r="H114" t="s">
        <v>3823</v>
      </c>
      <c r="I114" t="s">
        <v>3839</v>
      </c>
      <c r="J114" t="s">
        <v>3357</v>
      </c>
      <c r="K114" t="s">
        <v>3359</v>
      </c>
      <c r="L114" t="s">
        <v>2586</v>
      </c>
      <c r="M114" s="1086">
        <v>106678.45</v>
      </c>
      <c r="N114" s="1086">
        <v>0</v>
      </c>
      <c r="O114" s="1086">
        <v>5000</v>
      </c>
      <c r="P114" s="1086">
        <v>47575.18</v>
      </c>
      <c r="Q114" s="1086">
        <v>0</v>
      </c>
      <c r="R114" s="1086">
        <v>0</v>
      </c>
      <c r="S114" s="1086">
        <v>0</v>
      </c>
      <c r="T114" s="1086">
        <v>7575.51</v>
      </c>
      <c r="U114" s="1086">
        <v>14947.98</v>
      </c>
      <c r="V114" s="1086">
        <v>0</v>
      </c>
      <c r="W114" s="1086">
        <v>0</v>
      </c>
      <c r="X114" s="1086">
        <v>6549.82</v>
      </c>
      <c r="Y114" s="1086">
        <v>0</v>
      </c>
      <c r="Z114" s="1086">
        <v>0</v>
      </c>
      <c r="AA114" s="1086">
        <v>0</v>
      </c>
      <c r="AB114" s="1086">
        <v>0</v>
      </c>
      <c r="AC114" s="1086">
        <v>35029.96</v>
      </c>
      <c r="AD114" s="1086" t="s">
        <v>248</v>
      </c>
      <c r="AE114" s="1086" t="s">
        <v>3877</v>
      </c>
      <c r="AF114" s="1086">
        <f t="shared" si="4"/>
        <v>35029.960000000006</v>
      </c>
      <c r="AG114" s="1086">
        <f t="shared" si="5"/>
        <v>0</v>
      </c>
      <c r="AQ114" s="1086">
        <v>0</v>
      </c>
      <c r="AR114" s="1086">
        <v>0</v>
      </c>
      <c r="AS114" s="1086">
        <v>35029.96</v>
      </c>
      <c r="AT114" s="1086">
        <f t="shared" si="6"/>
        <v>0</v>
      </c>
      <c r="AV114" s="1150">
        <f t="shared" si="7"/>
        <v>76648.489999999991</v>
      </c>
    </row>
    <row r="115" spans="1:48" x14ac:dyDescent="0.2">
      <c r="A115" s="19">
        <v>112</v>
      </c>
      <c r="B115" t="s">
        <v>1416</v>
      </c>
      <c r="C115" t="s">
        <v>1290</v>
      </c>
      <c r="D115" t="s">
        <v>1026</v>
      </c>
      <c r="E115" t="s">
        <v>2134</v>
      </c>
      <c r="F115" t="s">
        <v>2331</v>
      </c>
      <c r="G115" t="s">
        <v>1250</v>
      </c>
      <c r="H115" t="s">
        <v>3823</v>
      </c>
      <c r="I115" t="s">
        <v>3839</v>
      </c>
      <c r="J115" t="s">
        <v>3357</v>
      </c>
      <c r="K115" t="s">
        <v>3360</v>
      </c>
      <c r="L115" t="s">
        <v>2587</v>
      </c>
      <c r="M115" s="1086">
        <v>1106.03</v>
      </c>
      <c r="N115" s="1086">
        <v>0</v>
      </c>
      <c r="O115" s="1086">
        <v>0</v>
      </c>
      <c r="P115" s="1086">
        <v>0</v>
      </c>
      <c r="Q115" s="1086">
        <v>0</v>
      </c>
      <c r="R115" s="1086">
        <v>0</v>
      </c>
      <c r="S115" s="1086">
        <v>729.1</v>
      </c>
      <c r="T115" s="1086">
        <v>10.98</v>
      </c>
      <c r="U115" s="1086">
        <v>67.31</v>
      </c>
      <c r="V115" s="1086">
        <v>0</v>
      </c>
      <c r="W115" s="1086">
        <v>0</v>
      </c>
      <c r="X115" s="1086">
        <v>0</v>
      </c>
      <c r="Y115" s="1086">
        <v>0</v>
      </c>
      <c r="Z115" s="1086">
        <v>0</v>
      </c>
      <c r="AA115" s="1086">
        <v>0</v>
      </c>
      <c r="AB115" s="1086">
        <v>0</v>
      </c>
      <c r="AC115" s="1086">
        <v>298.64</v>
      </c>
      <c r="AD115" s="1086" t="s">
        <v>248</v>
      </c>
      <c r="AE115" s="1086" t="s">
        <v>3877</v>
      </c>
      <c r="AF115" s="1086">
        <f t="shared" si="4"/>
        <v>298.63999999999987</v>
      </c>
      <c r="AG115" s="1086">
        <f t="shared" si="5"/>
        <v>0</v>
      </c>
      <c r="AQ115" s="1086">
        <v>0</v>
      </c>
      <c r="AR115" s="1086">
        <v>0</v>
      </c>
      <c r="AS115" s="1086">
        <v>298.64</v>
      </c>
      <c r="AT115" s="1086">
        <f t="shared" si="6"/>
        <v>0</v>
      </c>
      <c r="AV115" s="1150">
        <f t="shared" si="7"/>
        <v>807.3900000000001</v>
      </c>
    </row>
    <row r="116" spans="1:48" x14ac:dyDescent="0.2">
      <c r="A116" s="19">
        <v>113</v>
      </c>
      <c r="B116" t="s">
        <v>1417</v>
      </c>
      <c r="C116" t="s">
        <v>1290</v>
      </c>
      <c r="D116" t="s">
        <v>1026</v>
      </c>
      <c r="E116" t="s">
        <v>2134</v>
      </c>
      <c r="F116" t="s">
        <v>2331</v>
      </c>
      <c r="G116" t="s">
        <v>1250</v>
      </c>
      <c r="H116" t="s">
        <v>3823</v>
      </c>
      <c r="I116" t="s">
        <v>3839</v>
      </c>
      <c r="J116" t="s">
        <v>3357</v>
      </c>
      <c r="K116" t="s">
        <v>3361</v>
      </c>
      <c r="L116" t="s">
        <v>2588</v>
      </c>
      <c r="M116" s="1086">
        <v>262237.01</v>
      </c>
      <c r="N116" s="1086">
        <v>0</v>
      </c>
      <c r="O116" s="1086">
        <v>16000</v>
      </c>
      <c r="P116" s="1086">
        <v>9472.2199999999993</v>
      </c>
      <c r="Q116" s="1086">
        <v>0</v>
      </c>
      <c r="R116" s="1086">
        <v>0</v>
      </c>
      <c r="S116" s="1086">
        <v>50.7</v>
      </c>
      <c r="T116" s="1086">
        <v>1959.44</v>
      </c>
      <c r="U116" s="1086">
        <v>16364.34</v>
      </c>
      <c r="V116" s="1086">
        <v>0</v>
      </c>
      <c r="W116" s="1086">
        <v>0</v>
      </c>
      <c r="X116" s="1086">
        <v>13686.24</v>
      </c>
      <c r="Y116" s="1086">
        <v>0</v>
      </c>
      <c r="Z116" s="1086">
        <v>0</v>
      </c>
      <c r="AA116" s="1086">
        <v>0</v>
      </c>
      <c r="AB116" s="1086">
        <v>0</v>
      </c>
      <c r="AC116" s="1086">
        <v>236704.07</v>
      </c>
      <c r="AD116" s="1086" t="s">
        <v>248</v>
      </c>
      <c r="AE116" s="1086" t="s">
        <v>3877</v>
      </c>
      <c r="AF116" s="1086">
        <f t="shared" si="4"/>
        <v>236704.07</v>
      </c>
      <c r="AG116" s="1086">
        <f t="shared" si="5"/>
        <v>0</v>
      </c>
      <c r="AQ116" s="1086">
        <v>0</v>
      </c>
      <c r="AR116" s="1086">
        <v>0</v>
      </c>
      <c r="AS116" s="1086">
        <v>236704.07</v>
      </c>
      <c r="AT116" s="1086">
        <f t="shared" si="6"/>
        <v>0</v>
      </c>
      <c r="AV116" s="1150">
        <f t="shared" si="7"/>
        <v>41532.94</v>
      </c>
    </row>
    <row r="117" spans="1:48" x14ac:dyDescent="0.2">
      <c r="A117" s="19">
        <v>114</v>
      </c>
      <c r="B117" t="s">
        <v>1418</v>
      </c>
      <c r="C117" t="s">
        <v>1290</v>
      </c>
      <c r="D117" t="s">
        <v>1026</v>
      </c>
      <c r="E117" t="s">
        <v>2134</v>
      </c>
      <c r="F117" t="s">
        <v>2331</v>
      </c>
      <c r="G117" t="s">
        <v>1250</v>
      </c>
      <c r="H117" t="s">
        <v>3823</v>
      </c>
      <c r="I117" t="s">
        <v>3839</v>
      </c>
      <c r="J117" t="s">
        <v>3357</v>
      </c>
      <c r="K117" t="s">
        <v>3362</v>
      </c>
      <c r="L117" t="s">
        <v>2589</v>
      </c>
      <c r="M117" s="1086">
        <v>95836.14</v>
      </c>
      <c r="N117" s="1086">
        <v>0</v>
      </c>
      <c r="O117" s="1086">
        <v>15000</v>
      </c>
      <c r="P117" s="1086">
        <v>0</v>
      </c>
      <c r="Q117" s="1086">
        <v>497.64</v>
      </c>
      <c r="R117" s="1086">
        <v>0</v>
      </c>
      <c r="S117" s="1086">
        <v>0</v>
      </c>
      <c r="T117" s="1086">
        <v>1709.05</v>
      </c>
      <c r="U117" s="1086">
        <v>20764.240000000002</v>
      </c>
      <c r="V117" s="1086">
        <v>100</v>
      </c>
      <c r="W117" s="1086">
        <v>0</v>
      </c>
      <c r="X117" s="1086">
        <v>5272.73</v>
      </c>
      <c r="Y117" s="1086">
        <v>-6500</v>
      </c>
      <c r="Z117" s="1086">
        <v>0</v>
      </c>
      <c r="AA117" s="1086">
        <v>0</v>
      </c>
      <c r="AB117" s="1086">
        <v>0</v>
      </c>
      <c r="AC117" s="1086">
        <v>88992.48</v>
      </c>
      <c r="AD117" s="1086" t="s">
        <v>248</v>
      </c>
      <c r="AE117" s="1086" t="s">
        <v>3877</v>
      </c>
      <c r="AF117" s="1086">
        <f t="shared" si="4"/>
        <v>88992.48</v>
      </c>
      <c r="AG117" s="1086">
        <f t="shared" si="5"/>
        <v>0</v>
      </c>
      <c r="AQ117" s="1086">
        <v>0</v>
      </c>
      <c r="AR117" s="1086">
        <v>0</v>
      </c>
      <c r="AS117" s="1086">
        <v>88992.48</v>
      </c>
      <c r="AT117" s="1086">
        <f t="shared" si="6"/>
        <v>0</v>
      </c>
      <c r="AV117" s="1150">
        <f t="shared" si="7"/>
        <v>21843.66</v>
      </c>
    </row>
    <row r="118" spans="1:48" x14ac:dyDescent="0.2">
      <c r="A118" s="19">
        <v>115</v>
      </c>
      <c r="B118" t="s">
        <v>1419</v>
      </c>
      <c r="C118" t="s">
        <v>1290</v>
      </c>
      <c r="D118" t="s">
        <v>1026</v>
      </c>
      <c r="E118" t="s">
        <v>2134</v>
      </c>
      <c r="F118" t="s">
        <v>2331</v>
      </c>
      <c r="G118" t="s">
        <v>1250</v>
      </c>
      <c r="H118" t="s">
        <v>3823</v>
      </c>
      <c r="I118">
        <v>0</v>
      </c>
      <c r="L118" t="s">
        <v>2590</v>
      </c>
      <c r="M118" s="1086">
        <v>2937.27</v>
      </c>
      <c r="N118" s="1086">
        <v>0</v>
      </c>
      <c r="O118" s="1086">
        <v>0</v>
      </c>
      <c r="P118" s="1086">
        <v>2387.6799999999998</v>
      </c>
      <c r="Q118" s="1086">
        <v>0</v>
      </c>
      <c r="R118" s="1086">
        <v>0</v>
      </c>
      <c r="S118" s="1086">
        <v>0</v>
      </c>
      <c r="T118" s="1086">
        <v>385.21</v>
      </c>
      <c r="U118" s="1086">
        <v>0</v>
      </c>
      <c r="V118" s="1086">
        <v>0</v>
      </c>
      <c r="W118" s="1086">
        <v>0</v>
      </c>
      <c r="X118" s="1086">
        <v>0</v>
      </c>
      <c r="Y118" s="1086">
        <v>0</v>
      </c>
      <c r="Z118" s="1086">
        <v>0</v>
      </c>
      <c r="AA118" s="1086">
        <v>164.38</v>
      </c>
      <c r="AB118" s="1086">
        <v>0</v>
      </c>
      <c r="AC118" s="1086">
        <v>0</v>
      </c>
      <c r="AD118" s="1086" t="s">
        <v>248</v>
      </c>
      <c r="AE118" s="1086" t="s">
        <v>3877</v>
      </c>
      <c r="AF118" s="1086">
        <f t="shared" si="4"/>
        <v>0</v>
      </c>
      <c r="AG118" s="1086">
        <f t="shared" si="5"/>
        <v>0</v>
      </c>
      <c r="AQ118" s="1086">
        <v>0</v>
      </c>
      <c r="AR118" s="1086">
        <v>0</v>
      </c>
      <c r="AS118" s="1086">
        <v>0</v>
      </c>
      <c r="AT118" s="1086">
        <f t="shared" si="6"/>
        <v>0</v>
      </c>
      <c r="AV118" s="1150">
        <f t="shared" si="7"/>
        <v>2937.27</v>
      </c>
    </row>
    <row r="119" spans="1:48" x14ac:dyDescent="0.2">
      <c r="A119" s="19">
        <v>116</v>
      </c>
      <c r="B119" t="s">
        <v>1420</v>
      </c>
      <c r="C119" t="s">
        <v>1290</v>
      </c>
      <c r="D119" t="s">
        <v>1026</v>
      </c>
      <c r="E119" t="s">
        <v>2134</v>
      </c>
      <c r="F119" t="s">
        <v>2331</v>
      </c>
      <c r="G119" t="s">
        <v>1250</v>
      </c>
      <c r="H119" t="s">
        <v>3823</v>
      </c>
      <c r="I119" t="s">
        <v>3839</v>
      </c>
      <c r="J119" t="s">
        <v>3357</v>
      </c>
      <c r="K119" t="s">
        <v>3363</v>
      </c>
      <c r="L119" t="s">
        <v>2591</v>
      </c>
      <c r="M119" s="1086">
        <v>2805.89</v>
      </c>
      <c r="N119" s="1086">
        <v>0</v>
      </c>
      <c r="O119" s="1086">
        <v>30000</v>
      </c>
      <c r="P119" s="1086">
        <v>2000</v>
      </c>
      <c r="Q119" s="1086">
        <v>0</v>
      </c>
      <c r="R119" s="1086">
        <v>0</v>
      </c>
      <c r="S119" s="1086">
        <v>0</v>
      </c>
      <c r="T119" s="1086">
        <v>1044.8599999999999</v>
      </c>
      <c r="U119" s="1086">
        <v>3388.83</v>
      </c>
      <c r="V119" s="1086">
        <v>0</v>
      </c>
      <c r="W119" s="1086">
        <v>0</v>
      </c>
      <c r="X119" s="1086">
        <v>358.12</v>
      </c>
      <c r="Y119" s="1086">
        <v>0</v>
      </c>
      <c r="Z119" s="1086">
        <v>0</v>
      </c>
      <c r="AA119" s="1086">
        <v>0</v>
      </c>
      <c r="AB119" s="1086">
        <v>0</v>
      </c>
      <c r="AC119" s="1086">
        <v>26014.080000000002</v>
      </c>
      <c r="AD119" s="1086" t="s">
        <v>248</v>
      </c>
      <c r="AE119" s="1086" t="s">
        <v>3877</v>
      </c>
      <c r="AF119" s="1086">
        <f t="shared" si="4"/>
        <v>26014.080000000002</v>
      </c>
      <c r="AG119" s="1086">
        <f t="shared" si="5"/>
        <v>0</v>
      </c>
      <c r="AQ119" s="1086">
        <v>0</v>
      </c>
      <c r="AR119" s="1086">
        <v>0</v>
      </c>
      <c r="AS119" s="1086">
        <v>26014.080000000002</v>
      </c>
      <c r="AT119" s="1086">
        <f t="shared" si="6"/>
        <v>0</v>
      </c>
      <c r="AV119" s="1150">
        <f t="shared" si="7"/>
        <v>6791.8099999999995</v>
      </c>
    </row>
    <row r="120" spans="1:48" x14ac:dyDescent="0.2">
      <c r="A120" s="19">
        <v>117</v>
      </c>
      <c r="B120" t="s">
        <v>1421</v>
      </c>
      <c r="C120" t="s">
        <v>1290</v>
      </c>
      <c r="D120" t="s">
        <v>1026</v>
      </c>
      <c r="E120" t="s">
        <v>2134</v>
      </c>
      <c r="F120" t="s">
        <v>2331</v>
      </c>
      <c r="G120" t="s">
        <v>1250</v>
      </c>
      <c r="H120" t="s">
        <v>3823</v>
      </c>
      <c r="I120">
        <v>0</v>
      </c>
      <c r="L120" t="s">
        <v>2592</v>
      </c>
      <c r="M120" s="1086">
        <v>24404.14</v>
      </c>
      <c r="N120" s="1086">
        <v>0</v>
      </c>
      <c r="O120" s="1086">
        <v>0</v>
      </c>
      <c r="P120" s="1086">
        <v>0</v>
      </c>
      <c r="Q120" s="1086">
        <v>0</v>
      </c>
      <c r="R120" s="1086">
        <v>0</v>
      </c>
      <c r="S120" s="1086">
        <v>0</v>
      </c>
      <c r="T120" s="1086">
        <v>1237.57</v>
      </c>
      <c r="U120" s="1086">
        <v>18209.04</v>
      </c>
      <c r="V120" s="1086">
        <v>0</v>
      </c>
      <c r="W120" s="1086">
        <v>0</v>
      </c>
      <c r="X120" s="1086">
        <v>4957.53</v>
      </c>
      <c r="Y120" s="1086">
        <v>0</v>
      </c>
      <c r="Z120" s="1086">
        <v>0</v>
      </c>
      <c r="AA120" s="1086">
        <v>0</v>
      </c>
      <c r="AB120" s="1086">
        <v>0</v>
      </c>
      <c r="AC120" s="1086">
        <v>0</v>
      </c>
      <c r="AD120" s="1086" t="s">
        <v>248</v>
      </c>
      <c r="AE120" s="1086" t="s">
        <v>3877</v>
      </c>
      <c r="AF120" s="1086">
        <f t="shared" si="4"/>
        <v>0</v>
      </c>
      <c r="AG120" s="1086">
        <f t="shared" si="5"/>
        <v>0</v>
      </c>
      <c r="AQ120" s="1086">
        <v>0</v>
      </c>
      <c r="AR120" s="1086">
        <v>0</v>
      </c>
      <c r="AS120" s="1086">
        <v>0</v>
      </c>
      <c r="AT120" s="1086">
        <f t="shared" si="6"/>
        <v>0</v>
      </c>
      <c r="AV120" s="1150">
        <f t="shared" si="7"/>
        <v>24404.14</v>
      </c>
    </row>
    <row r="121" spans="1:48" x14ac:dyDescent="0.2">
      <c r="A121" s="19">
        <v>118</v>
      </c>
      <c r="B121" t="s">
        <v>1422</v>
      </c>
      <c r="C121" t="s">
        <v>1290</v>
      </c>
      <c r="D121" t="s">
        <v>1026</v>
      </c>
      <c r="E121" t="s">
        <v>2134</v>
      </c>
      <c r="F121" t="s">
        <v>2331</v>
      </c>
      <c r="G121" t="s">
        <v>1250</v>
      </c>
      <c r="H121" t="s">
        <v>3823</v>
      </c>
      <c r="I121" t="s">
        <v>3839</v>
      </c>
      <c r="J121" t="s">
        <v>3357</v>
      </c>
      <c r="K121" t="s">
        <v>3364</v>
      </c>
      <c r="L121" t="s">
        <v>2593</v>
      </c>
      <c r="M121" s="1086">
        <v>61099.76</v>
      </c>
      <c r="N121" s="1086">
        <v>0</v>
      </c>
      <c r="O121" s="1086">
        <v>16000</v>
      </c>
      <c r="P121" s="1086">
        <v>9651.31</v>
      </c>
      <c r="Q121" s="1086">
        <v>0</v>
      </c>
      <c r="R121" s="1086">
        <v>0</v>
      </c>
      <c r="S121" s="1086">
        <v>0</v>
      </c>
      <c r="T121" s="1086">
        <v>671.48</v>
      </c>
      <c r="U121" s="1086">
        <v>6736.64</v>
      </c>
      <c r="V121" s="1086">
        <v>0</v>
      </c>
      <c r="W121" s="1086">
        <v>0</v>
      </c>
      <c r="X121" s="1086">
        <v>5629.32</v>
      </c>
      <c r="Y121" s="1086">
        <v>0</v>
      </c>
      <c r="Z121" s="1086">
        <v>0</v>
      </c>
      <c r="AA121" s="1086">
        <v>0</v>
      </c>
      <c r="AB121" s="1086">
        <v>0</v>
      </c>
      <c r="AC121" s="1086">
        <v>54411.01</v>
      </c>
      <c r="AD121" s="1086" t="s">
        <v>248</v>
      </c>
      <c r="AE121" s="1086" t="s">
        <v>3877</v>
      </c>
      <c r="AF121" s="1086">
        <f t="shared" si="4"/>
        <v>54411.010000000009</v>
      </c>
      <c r="AG121" s="1086">
        <f t="shared" si="5"/>
        <v>0</v>
      </c>
      <c r="AQ121" s="1086">
        <v>0</v>
      </c>
      <c r="AR121" s="1086">
        <v>0</v>
      </c>
      <c r="AS121" s="1086">
        <v>54411.01</v>
      </c>
      <c r="AT121" s="1086">
        <f t="shared" si="6"/>
        <v>0</v>
      </c>
      <c r="AV121" s="1150">
        <f t="shared" si="7"/>
        <v>22688.75</v>
      </c>
    </row>
    <row r="122" spans="1:48" x14ac:dyDescent="0.2">
      <c r="A122" s="19">
        <v>119</v>
      </c>
      <c r="B122" t="s">
        <v>1423</v>
      </c>
      <c r="C122" t="s">
        <v>1290</v>
      </c>
      <c r="D122" t="s">
        <v>1026</v>
      </c>
      <c r="E122" t="s">
        <v>2134</v>
      </c>
      <c r="F122" t="s">
        <v>2331</v>
      </c>
      <c r="G122" t="s">
        <v>1250</v>
      </c>
      <c r="H122" t="s">
        <v>3823</v>
      </c>
      <c r="I122">
        <v>0</v>
      </c>
      <c r="L122" t="s">
        <v>2594</v>
      </c>
      <c r="M122" s="1086">
        <v>1699.78</v>
      </c>
      <c r="N122" s="1086">
        <v>0</v>
      </c>
      <c r="O122" s="1086">
        <v>0</v>
      </c>
      <c r="P122" s="1086">
        <v>0</v>
      </c>
      <c r="Q122" s="1086">
        <v>0</v>
      </c>
      <c r="R122" s="1086">
        <v>0</v>
      </c>
      <c r="S122" s="1086">
        <v>1183.01</v>
      </c>
      <c r="T122" s="1086">
        <v>34.9</v>
      </c>
      <c r="U122" s="1086">
        <v>125.95</v>
      </c>
      <c r="V122" s="1086">
        <v>0</v>
      </c>
      <c r="W122" s="1086">
        <v>0</v>
      </c>
      <c r="X122" s="1086">
        <v>355.92</v>
      </c>
      <c r="Y122" s="1086">
        <v>0</v>
      </c>
      <c r="Z122" s="1086">
        <v>0</v>
      </c>
      <c r="AA122" s="1086">
        <v>0</v>
      </c>
      <c r="AB122" s="1086">
        <v>0</v>
      </c>
      <c r="AC122" s="1086">
        <v>0</v>
      </c>
      <c r="AD122" s="1086" t="s">
        <v>248</v>
      </c>
      <c r="AE122" s="1086" t="s">
        <v>3877</v>
      </c>
      <c r="AF122" s="1086">
        <f t="shared" si="4"/>
        <v>-2.2737367544323206E-13</v>
      </c>
      <c r="AG122" s="1086">
        <f t="shared" si="5"/>
        <v>2.2737367544323206E-13</v>
      </c>
      <c r="AQ122" s="1086">
        <v>0</v>
      </c>
      <c r="AR122" s="1086">
        <v>0</v>
      </c>
      <c r="AS122" s="1086">
        <v>0</v>
      </c>
      <c r="AT122" s="1086">
        <f t="shared" si="6"/>
        <v>0</v>
      </c>
      <c r="AV122" s="1150">
        <f t="shared" si="7"/>
        <v>1699.7800000000002</v>
      </c>
    </row>
    <row r="123" spans="1:48" x14ac:dyDescent="0.2">
      <c r="A123" s="19">
        <v>120</v>
      </c>
      <c r="B123" t="s">
        <v>1424</v>
      </c>
      <c r="C123" t="s">
        <v>1290</v>
      </c>
      <c r="D123" t="s">
        <v>1026</v>
      </c>
      <c r="E123" t="s">
        <v>2134</v>
      </c>
      <c r="F123" t="s">
        <v>2331</v>
      </c>
      <c r="G123" t="s">
        <v>1250</v>
      </c>
      <c r="H123" t="s">
        <v>3823</v>
      </c>
      <c r="I123" t="s">
        <v>3839</v>
      </c>
      <c r="J123" t="s">
        <v>3357</v>
      </c>
      <c r="K123" t="s">
        <v>3365</v>
      </c>
      <c r="L123" t="s">
        <v>2595</v>
      </c>
      <c r="M123" s="1086">
        <v>14368.83</v>
      </c>
      <c r="N123" s="1086">
        <v>0</v>
      </c>
      <c r="O123" s="1086">
        <v>0</v>
      </c>
      <c r="P123" s="1086">
        <v>-3600</v>
      </c>
      <c r="Q123" s="1086">
        <v>0</v>
      </c>
      <c r="R123" s="1086">
        <v>0</v>
      </c>
      <c r="S123" s="1086">
        <v>509</v>
      </c>
      <c r="T123" s="1086">
        <v>4021.8</v>
      </c>
      <c r="U123" s="1086">
        <v>5970.86</v>
      </c>
      <c r="V123" s="1086">
        <v>0</v>
      </c>
      <c r="W123" s="1086">
        <v>0</v>
      </c>
      <c r="X123" s="1086">
        <v>1331.85</v>
      </c>
      <c r="Y123" s="1086">
        <v>0</v>
      </c>
      <c r="Z123" s="1086">
        <v>0</v>
      </c>
      <c r="AA123" s="1086">
        <v>0</v>
      </c>
      <c r="AB123" s="1086">
        <v>0</v>
      </c>
      <c r="AC123" s="1086">
        <v>6135.32</v>
      </c>
      <c r="AD123" s="1086" t="s">
        <v>248</v>
      </c>
      <c r="AE123" s="1086" t="s">
        <v>3877</v>
      </c>
      <c r="AF123" s="1086">
        <f t="shared" si="4"/>
        <v>6135.32</v>
      </c>
      <c r="AG123" s="1086">
        <f t="shared" si="5"/>
        <v>0</v>
      </c>
      <c r="AQ123" s="1086">
        <v>0</v>
      </c>
      <c r="AR123" s="1086">
        <v>0</v>
      </c>
      <c r="AS123" s="1086">
        <v>6135.32</v>
      </c>
      <c r="AT123" s="1086">
        <f t="shared" si="6"/>
        <v>0</v>
      </c>
      <c r="AV123" s="1150">
        <f t="shared" si="7"/>
        <v>8233.51</v>
      </c>
    </row>
    <row r="124" spans="1:48" x14ac:dyDescent="0.2">
      <c r="A124" s="19">
        <v>121</v>
      </c>
      <c r="B124" t="s">
        <v>1425</v>
      </c>
      <c r="C124" t="s">
        <v>1290</v>
      </c>
      <c r="D124" t="s">
        <v>1026</v>
      </c>
      <c r="E124" t="s">
        <v>2134</v>
      </c>
      <c r="F124" t="s">
        <v>2331</v>
      </c>
      <c r="G124" t="s">
        <v>1250</v>
      </c>
      <c r="H124" t="s">
        <v>3823</v>
      </c>
      <c r="I124" t="s">
        <v>3839</v>
      </c>
      <c r="J124" t="s">
        <v>3357</v>
      </c>
      <c r="K124" t="s">
        <v>3366</v>
      </c>
      <c r="L124" t="s">
        <v>2596</v>
      </c>
      <c r="M124" s="1086">
        <v>323342.63</v>
      </c>
      <c r="N124" s="1086">
        <v>0</v>
      </c>
      <c r="O124" s="1086">
        <v>30000</v>
      </c>
      <c r="P124" s="1086">
        <v>18353.55</v>
      </c>
      <c r="Q124" s="1086">
        <v>5432.52</v>
      </c>
      <c r="R124" s="1086">
        <v>0</v>
      </c>
      <c r="S124" s="1086">
        <v>4043.4</v>
      </c>
      <c r="T124" s="1086">
        <v>4304.12</v>
      </c>
      <c r="U124" s="1086">
        <v>51686.36</v>
      </c>
      <c r="V124" s="1086">
        <v>0</v>
      </c>
      <c r="W124" s="1086">
        <v>0</v>
      </c>
      <c r="X124" s="1086">
        <v>1142.78</v>
      </c>
      <c r="Y124" s="1086">
        <v>0</v>
      </c>
      <c r="Z124" s="1086">
        <v>0</v>
      </c>
      <c r="AA124" s="1086">
        <v>147500</v>
      </c>
      <c r="AB124" s="1086">
        <v>0</v>
      </c>
      <c r="AC124" s="1086">
        <v>120879.9</v>
      </c>
      <c r="AD124" s="1086" t="s">
        <v>248</v>
      </c>
      <c r="AE124" s="1086" t="s">
        <v>3877</v>
      </c>
      <c r="AF124" s="1086">
        <f t="shared" si="4"/>
        <v>120879.90000000002</v>
      </c>
      <c r="AG124" s="1086">
        <f t="shared" si="5"/>
        <v>0</v>
      </c>
      <c r="AQ124" s="1086">
        <v>0</v>
      </c>
      <c r="AR124" s="1086">
        <v>0</v>
      </c>
      <c r="AS124" s="1086">
        <v>120879.9</v>
      </c>
      <c r="AT124" s="1086">
        <f t="shared" si="6"/>
        <v>0</v>
      </c>
      <c r="AV124" s="1150">
        <f t="shared" si="7"/>
        <v>232462.72999999998</v>
      </c>
    </row>
    <row r="125" spans="1:48" x14ac:dyDescent="0.2">
      <c r="A125" s="19">
        <v>122</v>
      </c>
      <c r="B125" t="s">
        <v>1426</v>
      </c>
      <c r="C125" t="s">
        <v>1290</v>
      </c>
      <c r="D125" t="s">
        <v>1026</v>
      </c>
      <c r="E125" t="s">
        <v>2134</v>
      </c>
      <c r="F125" t="s">
        <v>2331</v>
      </c>
      <c r="G125" t="s">
        <v>1250</v>
      </c>
      <c r="H125" t="s">
        <v>3823</v>
      </c>
      <c r="I125" t="s">
        <v>3839</v>
      </c>
      <c r="J125" t="s">
        <v>3357</v>
      </c>
      <c r="K125" t="s">
        <v>3367</v>
      </c>
      <c r="L125" t="s">
        <v>2597</v>
      </c>
      <c r="M125" s="1086">
        <v>105803.61</v>
      </c>
      <c r="N125" s="1086">
        <v>0</v>
      </c>
      <c r="O125" s="1086">
        <v>0</v>
      </c>
      <c r="P125" s="1086">
        <v>15626.47</v>
      </c>
      <c r="Q125" s="1086">
        <v>7718.76</v>
      </c>
      <c r="R125" s="1086">
        <v>0</v>
      </c>
      <c r="S125" s="1086">
        <v>0</v>
      </c>
      <c r="T125" s="1086">
        <v>8389.64</v>
      </c>
      <c r="U125" s="1086">
        <v>8585.39</v>
      </c>
      <c r="V125" s="1086">
        <v>0</v>
      </c>
      <c r="W125" s="1086">
        <v>0</v>
      </c>
      <c r="X125" s="1086">
        <v>1987.2</v>
      </c>
      <c r="Y125" s="1086">
        <v>0</v>
      </c>
      <c r="Z125" s="1086">
        <v>0</v>
      </c>
      <c r="AA125" s="1086">
        <v>0</v>
      </c>
      <c r="AB125" s="1086">
        <v>0</v>
      </c>
      <c r="AC125" s="1086">
        <v>63496.15</v>
      </c>
      <c r="AD125" s="1086" t="s">
        <v>248</v>
      </c>
      <c r="AE125" s="1086" t="s">
        <v>3877</v>
      </c>
      <c r="AF125" s="1086">
        <f t="shared" si="4"/>
        <v>63496.150000000009</v>
      </c>
      <c r="AG125" s="1086">
        <f t="shared" si="5"/>
        <v>0</v>
      </c>
      <c r="AQ125" s="1086">
        <v>0</v>
      </c>
      <c r="AR125" s="1086">
        <v>0</v>
      </c>
      <c r="AS125" s="1086">
        <v>63496.15</v>
      </c>
      <c r="AT125" s="1086">
        <f t="shared" si="6"/>
        <v>0</v>
      </c>
      <c r="AV125" s="1150">
        <f t="shared" si="7"/>
        <v>42307.459999999992</v>
      </c>
    </row>
    <row r="126" spans="1:48" x14ac:dyDescent="0.2">
      <c r="A126" s="19">
        <v>123</v>
      </c>
      <c r="B126" t="s">
        <v>1427</v>
      </c>
      <c r="C126" t="s">
        <v>1290</v>
      </c>
      <c r="D126" t="s">
        <v>1026</v>
      </c>
      <c r="E126" t="s">
        <v>2134</v>
      </c>
      <c r="F126" t="s">
        <v>2331</v>
      </c>
      <c r="G126" t="s">
        <v>1250</v>
      </c>
      <c r="H126" t="s">
        <v>3823</v>
      </c>
      <c r="I126" t="s">
        <v>3251</v>
      </c>
      <c r="J126" t="s">
        <v>3251</v>
      </c>
      <c r="K126" t="s">
        <v>3251</v>
      </c>
      <c r="L126" t="s">
        <v>2598</v>
      </c>
      <c r="M126" s="1086">
        <v>65155.46</v>
      </c>
      <c r="N126" s="1086">
        <v>0</v>
      </c>
      <c r="O126" s="1086">
        <v>101250</v>
      </c>
      <c r="P126" s="1086">
        <v>26860</v>
      </c>
      <c r="Q126" s="1086">
        <v>9000</v>
      </c>
      <c r="R126" s="1086">
        <v>0</v>
      </c>
      <c r="S126" s="1086">
        <v>0</v>
      </c>
      <c r="T126" s="1086">
        <v>8347.0300000000007</v>
      </c>
      <c r="U126" s="1086">
        <v>10805.13</v>
      </c>
      <c r="V126" s="1086">
        <v>0</v>
      </c>
      <c r="W126" s="1086">
        <v>0</v>
      </c>
      <c r="X126" s="1086">
        <v>12446.65</v>
      </c>
      <c r="Y126" s="1086">
        <v>0</v>
      </c>
      <c r="Z126" s="1086">
        <v>0</v>
      </c>
      <c r="AA126" s="1086">
        <v>0</v>
      </c>
      <c r="AB126" s="1086">
        <v>0</v>
      </c>
      <c r="AC126" s="1086">
        <v>98946.65</v>
      </c>
      <c r="AD126" s="1086" t="s">
        <v>248</v>
      </c>
      <c r="AE126" s="1086" t="s">
        <v>3877</v>
      </c>
      <c r="AF126" s="1086">
        <f t="shared" si="4"/>
        <v>98946.65</v>
      </c>
      <c r="AG126" s="1086">
        <f t="shared" si="5"/>
        <v>0</v>
      </c>
      <c r="AQ126" s="1086">
        <v>0</v>
      </c>
      <c r="AR126" s="1086">
        <v>0</v>
      </c>
      <c r="AS126" s="1086">
        <v>98946.65</v>
      </c>
      <c r="AT126" s="1086">
        <f t="shared" si="6"/>
        <v>0</v>
      </c>
      <c r="AV126" s="1150">
        <f t="shared" si="7"/>
        <v>67458.81</v>
      </c>
    </row>
    <row r="127" spans="1:48" x14ac:dyDescent="0.2">
      <c r="A127" s="19">
        <v>124</v>
      </c>
      <c r="B127" t="s">
        <v>1428</v>
      </c>
      <c r="C127" t="s">
        <v>1290</v>
      </c>
      <c r="D127" t="s">
        <v>1026</v>
      </c>
      <c r="E127" t="s">
        <v>2134</v>
      </c>
      <c r="F127" t="s">
        <v>2331</v>
      </c>
      <c r="G127" t="s">
        <v>1250</v>
      </c>
      <c r="H127" t="s">
        <v>3823</v>
      </c>
      <c r="I127" t="s">
        <v>3251</v>
      </c>
      <c r="J127" t="s">
        <v>3251</v>
      </c>
      <c r="K127" t="s">
        <v>3251</v>
      </c>
      <c r="L127" t="s">
        <v>2599</v>
      </c>
      <c r="M127" s="1086">
        <v>0</v>
      </c>
      <c r="N127" s="1086">
        <v>0</v>
      </c>
      <c r="O127" s="1086">
        <v>100000</v>
      </c>
      <c r="P127" s="1086">
        <v>0</v>
      </c>
      <c r="Q127" s="1086">
        <v>0</v>
      </c>
      <c r="R127" s="1086">
        <v>0</v>
      </c>
      <c r="S127" s="1086">
        <v>0</v>
      </c>
      <c r="T127" s="1086">
        <v>0</v>
      </c>
      <c r="U127" s="1086">
        <v>8912.23</v>
      </c>
      <c r="V127" s="1086">
        <v>0</v>
      </c>
      <c r="W127" s="1086">
        <v>0</v>
      </c>
      <c r="X127" s="1086">
        <v>4209.8500000000004</v>
      </c>
      <c r="Y127" s="1086">
        <v>0</v>
      </c>
      <c r="Z127" s="1086">
        <v>0</v>
      </c>
      <c r="AA127" s="1086">
        <v>0</v>
      </c>
      <c r="AB127" s="1086">
        <v>0</v>
      </c>
      <c r="AC127" s="1086">
        <v>86877.92</v>
      </c>
      <c r="AD127" s="1086" t="s">
        <v>248</v>
      </c>
      <c r="AE127" s="1086" t="s">
        <v>3877</v>
      </c>
      <c r="AF127" s="1086">
        <f t="shared" si="4"/>
        <v>86877.92</v>
      </c>
      <c r="AG127" s="1086">
        <f t="shared" si="5"/>
        <v>0</v>
      </c>
      <c r="AQ127" s="1086">
        <v>0</v>
      </c>
      <c r="AR127" s="1086">
        <v>0</v>
      </c>
      <c r="AS127" s="1086">
        <v>86877.92</v>
      </c>
      <c r="AT127" s="1086">
        <f t="shared" si="6"/>
        <v>0</v>
      </c>
      <c r="AV127" s="1150">
        <f t="shared" si="7"/>
        <v>13122.08</v>
      </c>
    </row>
    <row r="128" spans="1:48" x14ac:dyDescent="0.2">
      <c r="A128" s="19">
        <v>125</v>
      </c>
      <c r="B128" t="s">
        <v>1429</v>
      </c>
      <c r="C128" t="s">
        <v>1290</v>
      </c>
      <c r="D128" t="s">
        <v>1049</v>
      </c>
      <c r="E128" t="s">
        <v>2135</v>
      </c>
      <c r="F128" t="s">
        <v>2332</v>
      </c>
      <c r="G128" t="s">
        <v>1250</v>
      </c>
      <c r="H128" t="s">
        <v>3825</v>
      </c>
      <c r="I128" t="s">
        <v>3839</v>
      </c>
      <c r="J128" t="s">
        <v>3270</v>
      </c>
      <c r="K128" t="s">
        <v>3368</v>
      </c>
      <c r="L128" t="s">
        <v>2600</v>
      </c>
      <c r="M128" s="1086">
        <v>501602.88</v>
      </c>
      <c r="N128" s="1086">
        <v>2520.4</v>
      </c>
      <c r="O128" s="1086">
        <v>1012512.1</v>
      </c>
      <c r="P128" s="1086">
        <v>211084.75</v>
      </c>
      <c r="Q128" s="1086">
        <v>0</v>
      </c>
      <c r="R128" s="1086">
        <v>0</v>
      </c>
      <c r="S128" s="1086">
        <v>4364.3999999999996</v>
      </c>
      <c r="T128" s="1086">
        <v>24232.74</v>
      </c>
      <c r="U128" s="1086">
        <v>79301.66</v>
      </c>
      <c r="V128" s="1086">
        <v>0</v>
      </c>
      <c r="W128" s="1086">
        <v>0</v>
      </c>
      <c r="X128" s="1086">
        <v>16345.28</v>
      </c>
      <c r="Y128" s="1086">
        <v>-750</v>
      </c>
      <c r="Z128" s="1086">
        <v>0</v>
      </c>
      <c r="AA128" s="1086">
        <v>885310.1</v>
      </c>
      <c r="AB128" s="1086">
        <v>0</v>
      </c>
      <c r="AC128" s="1086">
        <v>296746.45</v>
      </c>
      <c r="AD128" s="1086" t="s">
        <v>248</v>
      </c>
      <c r="AE128" s="1086" t="s">
        <v>3877</v>
      </c>
      <c r="AF128" s="1086">
        <f t="shared" si="4"/>
        <v>296746.44999999995</v>
      </c>
      <c r="AG128" s="1086">
        <f t="shared" si="5"/>
        <v>0</v>
      </c>
      <c r="AQ128" s="1086">
        <v>0</v>
      </c>
      <c r="AR128" s="1086">
        <v>0</v>
      </c>
      <c r="AS128" s="1086">
        <v>296746.45</v>
      </c>
      <c r="AT128" s="1086">
        <f t="shared" si="6"/>
        <v>0</v>
      </c>
      <c r="AV128" s="1150">
        <f t="shared" si="7"/>
        <v>1219888.93</v>
      </c>
    </row>
    <row r="129" spans="1:48" x14ac:dyDescent="0.2">
      <c r="A129" s="19">
        <v>127</v>
      </c>
      <c r="B129" t="s">
        <v>1430</v>
      </c>
      <c r="C129" t="s">
        <v>1290</v>
      </c>
      <c r="D129" t="s">
        <v>1062</v>
      </c>
      <c r="E129" t="s">
        <v>2136</v>
      </c>
      <c r="F129" t="s">
        <v>2333</v>
      </c>
      <c r="G129" t="s">
        <v>1255</v>
      </c>
      <c r="H129" t="s">
        <v>3827</v>
      </c>
      <c r="I129" t="s">
        <v>3251</v>
      </c>
      <c r="J129" t="s">
        <v>3251</v>
      </c>
      <c r="K129" t="s">
        <v>3251</v>
      </c>
      <c r="L129" t="s">
        <v>2601</v>
      </c>
      <c r="M129" s="1086">
        <v>81292.59</v>
      </c>
      <c r="N129" s="1086">
        <v>10500</v>
      </c>
      <c r="O129" s="1086">
        <v>200000</v>
      </c>
      <c r="P129" s="1086">
        <v>0</v>
      </c>
      <c r="Q129" s="1086">
        <v>0</v>
      </c>
      <c r="R129" s="1086">
        <v>0</v>
      </c>
      <c r="S129" s="1086">
        <v>0</v>
      </c>
      <c r="T129" s="1086">
        <v>0</v>
      </c>
      <c r="U129" s="1086">
        <v>1481</v>
      </c>
      <c r="V129" s="1086">
        <v>0</v>
      </c>
      <c r="W129" s="1086">
        <v>0</v>
      </c>
      <c r="X129" s="1086">
        <v>6044.94</v>
      </c>
      <c r="Y129" s="1086">
        <v>0</v>
      </c>
      <c r="Z129" s="1086">
        <v>0</v>
      </c>
      <c r="AA129" s="1086">
        <v>200367.5</v>
      </c>
      <c r="AB129" s="1086">
        <v>0</v>
      </c>
      <c r="AC129" s="1086">
        <v>83899.15</v>
      </c>
      <c r="AD129" s="1086" t="s">
        <v>248</v>
      </c>
      <c r="AE129" s="1086" t="s">
        <v>3877</v>
      </c>
      <c r="AF129" s="1086">
        <f t="shared" si="4"/>
        <v>83899.149999999965</v>
      </c>
      <c r="AG129" s="1086">
        <f t="shared" si="5"/>
        <v>0</v>
      </c>
      <c r="AQ129" s="1086">
        <v>0</v>
      </c>
      <c r="AR129" s="1086">
        <v>0</v>
      </c>
      <c r="AS129" s="1086">
        <v>83899.15</v>
      </c>
      <c r="AT129" s="1086">
        <f t="shared" si="6"/>
        <v>0</v>
      </c>
      <c r="AV129" s="1150">
        <f t="shared" si="7"/>
        <v>207893.44</v>
      </c>
    </row>
    <row r="130" spans="1:48" x14ac:dyDescent="0.2">
      <c r="A130" s="19">
        <v>128</v>
      </c>
      <c r="B130" t="s">
        <v>1431</v>
      </c>
      <c r="C130" t="s">
        <v>1290</v>
      </c>
      <c r="D130" t="s">
        <v>1027</v>
      </c>
      <c r="E130" t="s">
        <v>2137</v>
      </c>
      <c r="F130" t="s">
        <v>2334</v>
      </c>
      <c r="G130" t="s">
        <v>1254</v>
      </c>
      <c r="H130" t="s">
        <v>3823</v>
      </c>
      <c r="I130" t="s">
        <v>3839</v>
      </c>
      <c r="J130" t="s">
        <v>3246</v>
      </c>
      <c r="K130" t="s">
        <v>3369</v>
      </c>
      <c r="L130" t="s">
        <v>2602</v>
      </c>
      <c r="M130" s="1086">
        <v>388806.83</v>
      </c>
      <c r="N130" s="1086">
        <v>0</v>
      </c>
      <c r="O130" s="1086">
        <v>0</v>
      </c>
      <c r="P130" s="1086">
        <v>0</v>
      </c>
      <c r="Q130" s="1086">
        <v>0</v>
      </c>
      <c r="R130" s="1086">
        <v>0</v>
      </c>
      <c r="S130" s="1086">
        <v>0</v>
      </c>
      <c r="T130" s="1086">
        <v>0</v>
      </c>
      <c r="U130" s="1086">
        <v>4131.79</v>
      </c>
      <c r="V130" s="1086">
        <v>0</v>
      </c>
      <c r="W130" s="1086">
        <v>0</v>
      </c>
      <c r="X130" s="1086">
        <v>12943.33</v>
      </c>
      <c r="Y130" s="1086">
        <v>0</v>
      </c>
      <c r="Z130" s="1086">
        <v>0</v>
      </c>
      <c r="AA130" s="1086">
        <v>0</v>
      </c>
      <c r="AB130" s="1086">
        <v>0</v>
      </c>
      <c r="AC130" s="1086">
        <v>371731.71</v>
      </c>
      <c r="AD130" s="1086" t="s">
        <v>248</v>
      </c>
      <c r="AE130" s="1086" t="s">
        <v>3877</v>
      </c>
      <c r="AF130" s="1086">
        <f t="shared" si="4"/>
        <v>371731.71</v>
      </c>
      <c r="AG130" s="1086">
        <f t="shared" si="5"/>
        <v>0</v>
      </c>
      <c r="AQ130" s="1086">
        <v>0</v>
      </c>
      <c r="AR130" s="1086">
        <v>0</v>
      </c>
      <c r="AS130" s="1086">
        <v>371731.71</v>
      </c>
      <c r="AT130" s="1086">
        <f t="shared" si="6"/>
        <v>0</v>
      </c>
      <c r="AV130" s="1150">
        <f t="shared" si="7"/>
        <v>17075.12</v>
      </c>
    </row>
    <row r="131" spans="1:48" x14ac:dyDescent="0.2">
      <c r="A131" s="19">
        <v>129</v>
      </c>
      <c r="B131" t="s">
        <v>1432</v>
      </c>
      <c r="C131" t="s">
        <v>1290</v>
      </c>
      <c r="D131" t="s">
        <v>1027</v>
      </c>
      <c r="E131" t="s">
        <v>2137</v>
      </c>
      <c r="F131" t="s">
        <v>2334</v>
      </c>
      <c r="G131" t="s">
        <v>1254</v>
      </c>
      <c r="H131" t="s">
        <v>3823</v>
      </c>
      <c r="I131">
        <v>0</v>
      </c>
      <c r="L131" t="s">
        <v>2603</v>
      </c>
      <c r="M131" s="1086">
        <v>310502.7</v>
      </c>
      <c r="N131" s="1086">
        <v>0</v>
      </c>
      <c r="O131" s="1086">
        <v>0</v>
      </c>
      <c r="P131" s="1086">
        <v>6566.25</v>
      </c>
      <c r="Q131" s="1086">
        <v>0</v>
      </c>
      <c r="R131" s="1086">
        <v>0</v>
      </c>
      <c r="S131" s="1086">
        <v>0</v>
      </c>
      <c r="T131" s="1086">
        <v>1956.09</v>
      </c>
      <c r="U131" s="1086">
        <v>27082.15</v>
      </c>
      <c r="V131" s="1086">
        <v>0</v>
      </c>
      <c r="W131" s="1086">
        <v>0</v>
      </c>
      <c r="X131" s="1086">
        <v>0</v>
      </c>
      <c r="Y131" s="1086">
        <v>0</v>
      </c>
      <c r="Z131" s="1086">
        <v>0</v>
      </c>
      <c r="AA131" s="1086">
        <v>274967.86</v>
      </c>
      <c r="AB131" s="1086">
        <v>0</v>
      </c>
      <c r="AC131" s="1086">
        <v>-69.650000000000006</v>
      </c>
      <c r="AD131" s="1086" t="s">
        <v>248</v>
      </c>
      <c r="AE131" s="1086" t="s">
        <v>3877</v>
      </c>
      <c r="AF131" s="1086">
        <f t="shared" si="4"/>
        <v>-69.649999999965075</v>
      </c>
      <c r="AG131" s="1086">
        <f t="shared" si="5"/>
        <v>-3.4930280889966525E-11</v>
      </c>
      <c r="AQ131" s="1086">
        <v>0</v>
      </c>
      <c r="AR131" s="1086">
        <v>0</v>
      </c>
      <c r="AS131" s="1086">
        <v>-69.650000000000006</v>
      </c>
      <c r="AT131" s="1086">
        <f t="shared" si="6"/>
        <v>0</v>
      </c>
      <c r="AV131" s="1150">
        <f t="shared" si="7"/>
        <v>310572.34999999998</v>
      </c>
    </row>
    <row r="132" spans="1:48" x14ac:dyDescent="0.2">
      <c r="A132" s="19">
        <v>130</v>
      </c>
      <c r="B132" t="s">
        <v>1433</v>
      </c>
      <c r="C132" t="s">
        <v>1290</v>
      </c>
      <c r="D132" t="s">
        <v>1027</v>
      </c>
      <c r="E132" t="s">
        <v>2137</v>
      </c>
      <c r="F132" t="s">
        <v>2334</v>
      </c>
      <c r="G132" t="s">
        <v>1254</v>
      </c>
      <c r="H132" t="s">
        <v>3823</v>
      </c>
      <c r="I132">
        <v>2221</v>
      </c>
      <c r="J132" t="s">
        <v>3246</v>
      </c>
      <c r="K132" t="s">
        <v>3370</v>
      </c>
      <c r="L132" t="s">
        <v>2604</v>
      </c>
      <c r="M132" s="1086">
        <v>78625.77</v>
      </c>
      <c r="N132" s="1086">
        <v>0</v>
      </c>
      <c r="O132" s="1086">
        <v>200000</v>
      </c>
      <c r="P132" s="1086">
        <v>40089.97</v>
      </c>
      <c r="Q132" s="1086">
        <v>0</v>
      </c>
      <c r="R132" s="1086">
        <v>0</v>
      </c>
      <c r="S132" s="1086">
        <v>2397.6</v>
      </c>
      <c r="T132" s="1086">
        <v>7350.62</v>
      </c>
      <c r="U132" s="1086">
        <v>136470.9</v>
      </c>
      <c r="V132" s="1086">
        <v>0</v>
      </c>
      <c r="W132" s="1086">
        <v>-431.22</v>
      </c>
      <c r="X132" s="1086">
        <v>5394.5</v>
      </c>
      <c r="Y132" s="1086">
        <v>-1500</v>
      </c>
      <c r="Z132" s="1086">
        <v>0</v>
      </c>
      <c r="AA132" s="1086">
        <v>0</v>
      </c>
      <c r="AB132" s="1086">
        <v>0</v>
      </c>
      <c r="AC132" s="1086">
        <v>88853.4</v>
      </c>
      <c r="AD132" s="1086" t="s">
        <v>248</v>
      </c>
      <c r="AE132" s="1086" t="s">
        <v>3877</v>
      </c>
      <c r="AF132" s="1086">
        <f t="shared" si="4"/>
        <v>88853.400000000023</v>
      </c>
      <c r="AG132" s="1086">
        <f t="shared" si="5"/>
        <v>0</v>
      </c>
      <c r="AQ132" s="1086">
        <v>0</v>
      </c>
      <c r="AR132" s="1086">
        <v>0</v>
      </c>
      <c r="AS132" s="1086">
        <v>88853.4</v>
      </c>
      <c r="AT132" s="1086">
        <f t="shared" si="6"/>
        <v>0</v>
      </c>
      <c r="AV132" s="1150">
        <f t="shared" si="7"/>
        <v>189772.37</v>
      </c>
    </row>
    <row r="133" spans="1:48" x14ac:dyDescent="0.2">
      <c r="A133" s="19">
        <v>131</v>
      </c>
      <c r="B133" t="s">
        <v>1434</v>
      </c>
      <c r="C133" t="s">
        <v>1290</v>
      </c>
      <c r="D133" t="s">
        <v>1031</v>
      </c>
      <c r="E133" t="s">
        <v>2138</v>
      </c>
      <c r="F133" t="s">
        <v>2335</v>
      </c>
      <c r="G133" t="s">
        <v>3831</v>
      </c>
      <c r="H133" t="s">
        <v>3825</v>
      </c>
      <c r="I133" t="s">
        <v>3839</v>
      </c>
      <c r="J133" t="s">
        <v>3341</v>
      </c>
      <c r="K133" t="s">
        <v>3371</v>
      </c>
      <c r="L133" t="s">
        <v>2605</v>
      </c>
      <c r="M133" s="1086">
        <v>430670.45</v>
      </c>
      <c r="N133" s="1086">
        <v>241390.37999999998</v>
      </c>
      <c r="O133" s="1086">
        <v>10150</v>
      </c>
      <c r="P133" s="1086">
        <v>240189.79</v>
      </c>
      <c r="Q133" s="1086">
        <v>0</v>
      </c>
      <c r="R133" s="1086">
        <v>44312.55</v>
      </c>
      <c r="S133" s="1086">
        <v>28512</v>
      </c>
      <c r="T133" s="1086">
        <v>27919.06</v>
      </c>
      <c r="U133" s="1086">
        <v>92297.67</v>
      </c>
      <c r="V133" s="1086">
        <v>0</v>
      </c>
      <c r="W133" s="1086">
        <v>0</v>
      </c>
      <c r="X133" s="1086">
        <v>2684.32</v>
      </c>
      <c r="Y133" s="1086">
        <v>0</v>
      </c>
      <c r="Z133" s="1086">
        <v>0</v>
      </c>
      <c r="AA133" s="1086">
        <v>7789.99</v>
      </c>
      <c r="AB133" s="1086">
        <v>0</v>
      </c>
      <c r="AC133" s="1086">
        <v>238505.45</v>
      </c>
      <c r="AD133" s="1103" t="s">
        <v>1252</v>
      </c>
      <c r="AE133" s="1086" t="s">
        <v>3879</v>
      </c>
      <c r="AF133" s="1086">
        <f t="shared" si="4"/>
        <v>238505.44999999995</v>
      </c>
      <c r="AG133" s="1086">
        <f t="shared" ref="AG133:AG196" si="8">AC133-AF133</f>
        <v>0</v>
      </c>
      <c r="AQ133" s="1086">
        <v>0</v>
      </c>
      <c r="AR133" s="1086">
        <v>0</v>
      </c>
      <c r="AS133" s="1086">
        <v>244770.6</v>
      </c>
      <c r="AT133" s="1086">
        <f t="shared" si="6"/>
        <v>-6265.1499999999942</v>
      </c>
      <c r="AU133" s="167" t="s">
        <v>3913</v>
      </c>
      <c r="AV133" s="1150">
        <f t="shared" si="7"/>
        <v>443705.38</v>
      </c>
    </row>
    <row r="134" spans="1:48" x14ac:dyDescent="0.2">
      <c r="A134" s="19">
        <v>132</v>
      </c>
      <c r="B134" t="s">
        <v>1435</v>
      </c>
      <c r="C134" t="s">
        <v>1290</v>
      </c>
      <c r="D134" t="s">
        <v>1047</v>
      </c>
      <c r="E134" t="s">
        <v>2139</v>
      </c>
      <c r="F134" t="s">
        <v>2479</v>
      </c>
      <c r="G134" t="s">
        <v>608</v>
      </c>
      <c r="H134" t="s">
        <v>3826</v>
      </c>
      <c r="I134">
        <v>2202</v>
      </c>
      <c r="J134" t="s">
        <v>3260</v>
      </c>
      <c r="K134" t="s">
        <v>3372</v>
      </c>
      <c r="L134" t="s">
        <v>2606</v>
      </c>
      <c r="M134" s="1086">
        <v>-44169.14</v>
      </c>
      <c r="N134" s="1086">
        <v>37921.15</v>
      </c>
      <c r="O134" s="1086">
        <v>0</v>
      </c>
      <c r="P134" s="1086">
        <v>21714.23</v>
      </c>
      <c r="Q134" s="1086">
        <v>0</v>
      </c>
      <c r="R134" s="1086">
        <v>0</v>
      </c>
      <c r="S134" s="1086">
        <v>0</v>
      </c>
      <c r="T134" s="1086">
        <v>685.11</v>
      </c>
      <c r="U134" s="1086">
        <v>15845.71</v>
      </c>
      <c r="V134" s="1086">
        <v>0</v>
      </c>
      <c r="W134" s="1086">
        <v>0</v>
      </c>
      <c r="X134" s="1086">
        <v>0</v>
      </c>
      <c r="Y134" s="1086">
        <v>0</v>
      </c>
      <c r="Z134" s="1086">
        <v>0</v>
      </c>
      <c r="AA134" s="1086">
        <v>0</v>
      </c>
      <c r="AB134" s="1086">
        <v>0</v>
      </c>
      <c r="AC134" s="1086">
        <v>-44493.04</v>
      </c>
      <c r="AD134" s="1103" t="s">
        <v>608</v>
      </c>
      <c r="AE134" s="1086" t="s">
        <v>3878</v>
      </c>
      <c r="AF134" s="1086">
        <f t="shared" si="4"/>
        <v>-44493.04</v>
      </c>
      <c r="AG134" s="1086">
        <f t="shared" si="8"/>
        <v>0</v>
      </c>
      <c r="AQ134" s="1086">
        <v>0</v>
      </c>
      <c r="AR134" s="1086">
        <v>0</v>
      </c>
      <c r="AS134" s="1086">
        <v>-44493.04</v>
      </c>
      <c r="AT134" s="1086">
        <f t="shared" si="6"/>
        <v>0</v>
      </c>
      <c r="AV134" s="1150">
        <f t="shared" si="7"/>
        <v>38245.050000000003</v>
      </c>
    </row>
    <row r="135" spans="1:48" x14ac:dyDescent="0.2">
      <c r="A135" s="19">
        <v>133</v>
      </c>
      <c r="B135" t="s">
        <v>1436</v>
      </c>
      <c r="C135" t="s">
        <v>1290</v>
      </c>
      <c r="D135" t="s">
        <v>1026</v>
      </c>
      <c r="E135" t="s">
        <v>2140</v>
      </c>
      <c r="F135" t="s">
        <v>2337</v>
      </c>
      <c r="G135" t="s">
        <v>1250</v>
      </c>
      <c r="H135" t="s">
        <v>3825</v>
      </c>
      <c r="I135" t="s">
        <v>3839</v>
      </c>
      <c r="J135" t="s">
        <v>3357</v>
      </c>
      <c r="K135" t="s">
        <v>3373</v>
      </c>
      <c r="L135" t="s">
        <v>2607</v>
      </c>
      <c r="M135" s="1086">
        <v>74958.539999999994</v>
      </c>
      <c r="N135" s="1086">
        <v>53380.81</v>
      </c>
      <c r="O135" s="1086">
        <v>376052.62</v>
      </c>
      <c r="P135" s="1086">
        <v>7313.68</v>
      </c>
      <c r="Q135" s="1086">
        <v>0</v>
      </c>
      <c r="R135" s="1086">
        <v>1306.33</v>
      </c>
      <c r="S135" s="1086">
        <v>0</v>
      </c>
      <c r="T135" s="1086">
        <v>1009.6</v>
      </c>
      <c r="U135" s="1086">
        <v>65306.92</v>
      </c>
      <c r="V135" s="1086">
        <v>0</v>
      </c>
      <c r="W135" s="1086">
        <v>9048.07</v>
      </c>
      <c r="X135" s="1086">
        <v>21310.78</v>
      </c>
      <c r="Y135" s="1086">
        <v>-26000</v>
      </c>
      <c r="Z135" s="1086">
        <v>0</v>
      </c>
      <c r="AA135" s="1086">
        <v>132959.82999999999</v>
      </c>
      <c r="AB135" s="1086">
        <v>0</v>
      </c>
      <c r="AC135" s="1086">
        <v>291495.76</v>
      </c>
      <c r="AD135" s="1086" t="s">
        <v>248</v>
      </c>
      <c r="AE135" s="1086" t="s">
        <v>3877</v>
      </c>
      <c r="AF135" s="1086">
        <f t="shared" si="4"/>
        <v>291495.76</v>
      </c>
      <c r="AG135" s="1086">
        <f t="shared" si="8"/>
        <v>0</v>
      </c>
      <c r="AQ135" s="1086">
        <v>641</v>
      </c>
      <c r="AR135" s="1086">
        <v>0</v>
      </c>
      <c r="AS135" s="1086">
        <v>291495.76</v>
      </c>
      <c r="AT135" s="1086">
        <f t="shared" si="6"/>
        <v>0</v>
      </c>
      <c r="AV135" s="1150">
        <f t="shared" si="7"/>
        <v>212896.21</v>
      </c>
    </row>
    <row r="136" spans="1:48" x14ac:dyDescent="0.2">
      <c r="A136" s="19">
        <v>134</v>
      </c>
      <c r="B136" t="s">
        <v>1437</v>
      </c>
      <c r="C136" t="s">
        <v>1290</v>
      </c>
      <c r="D136" t="s">
        <v>1026</v>
      </c>
      <c r="E136" t="s">
        <v>2140</v>
      </c>
      <c r="F136" t="s">
        <v>2337</v>
      </c>
      <c r="G136" t="s">
        <v>1250</v>
      </c>
      <c r="H136" t="s">
        <v>3825</v>
      </c>
      <c r="I136" t="s">
        <v>3839</v>
      </c>
      <c r="J136" t="s">
        <v>3357</v>
      </c>
      <c r="K136" t="s">
        <v>3374</v>
      </c>
      <c r="L136" t="s">
        <v>2608</v>
      </c>
      <c r="M136" s="1086">
        <v>283155.78000000003</v>
      </c>
      <c r="N136" s="1086">
        <v>0</v>
      </c>
      <c r="O136" s="1086">
        <v>81777.440000000002</v>
      </c>
      <c r="P136" s="1086">
        <v>0</v>
      </c>
      <c r="Q136" s="1086">
        <v>0</v>
      </c>
      <c r="R136" s="1086">
        <v>0</v>
      </c>
      <c r="S136" s="1086">
        <v>0</v>
      </c>
      <c r="T136" s="1086">
        <v>0</v>
      </c>
      <c r="U136" s="1086">
        <v>26210.92</v>
      </c>
      <c r="V136" s="1086">
        <v>0</v>
      </c>
      <c r="W136" s="1086">
        <v>1739.88</v>
      </c>
      <c r="X136" s="1086">
        <v>0</v>
      </c>
      <c r="Y136" s="1086">
        <v>0</v>
      </c>
      <c r="Z136" s="1086">
        <v>0</v>
      </c>
      <c r="AA136" s="1086">
        <v>0</v>
      </c>
      <c r="AB136" s="1086">
        <v>0</v>
      </c>
      <c r="AC136" s="1086">
        <v>336982.42</v>
      </c>
      <c r="AD136" s="1086" t="s">
        <v>248</v>
      </c>
      <c r="AE136" s="1086" t="s">
        <v>3877</v>
      </c>
      <c r="AF136" s="1086">
        <f t="shared" ref="AF136:AF199" si="9">M136+N136+O136-(SUM(P136:AB136))-AQ136-AR136</f>
        <v>336982.42000000004</v>
      </c>
      <c r="AG136" s="1086">
        <f t="shared" si="8"/>
        <v>0</v>
      </c>
      <c r="AQ136" s="1086">
        <v>0</v>
      </c>
      <c r="AR136" s="1086">
        <v>0</v>
      </c>
      <c r="AS136" s="1086">
        <v>336982.42</v>
      </c>
      <c r="AT136" s="1086">
        <f t="shared" ref="AT136:AT199" si="10">AC136-AS136</f>
        <v>0</v>
      </c>
      <c r="AV136" s="1150">
        <f t="shared" si="7"/>
        <v>27950.799999999999</v>
      </c>
    </row>
    <row r="137" spans="1:48" x14ac:dyDescent="0.2">
      <c r="A137" s="19">
        <v>135</v>
      </c>
      <c r="B137" t="s">
        <v>1438</v>
      </c>
      <c r="C137" t="s">
        <v>1290</v>
      </c>
      <c r="D137" t="s">
        <v>1026</v>
      </c>
      <c r="E137" t="s">
        <v>2140</v>
      </c>
      <c r="F137" t="s">
        <v>2337</v>
      </c>
      <c r="G137" t="s">
        <v>1250</v>
      </c>
      <c r="H137" t="s">
        <v>3823</v>
      </c>
      <c r="I137">
        <v>2221</v>
      </c>
      <c r="J137" t="s">
        <v>3357</v>
      </c>
      <c r="K137" t="s">
        <v>3375</v>
      </c>
      <c r="L137" t="s">
        <v>2609</v>
      </c>
      <c r="M137" s="1086">
        <v>35381.410000000003</v>
      </c>
      <c r="N137" s="1086">
        <v>0</v>
      </c>
      <c r="O137" s="1086">
        <v>60362</v>
      </c>
      <c r="P137" s="1086">
        <v>22202.560000000001</v>
      </c>
      <c r="Q137" s="1086">
        <v>4125</v>
      </c>
      <c r="R137" s="1086">
        <v>0</v>
      </c>
      <c r="S137" s="1086">
        <v>11921.72</v>
      </c>
      <c r="T137" s="1086">
        <v>8168.49</v>
      </c>
      <c r="U137" s="1086">
        <v>25537.79</v>
      </c>
      <c r="V137" s="1086">
        <v>0</v>
      </c>
      <c r="W137" s="1086">
        <v>0</v>
      </c>
      <c r="X137" s="1086">
        <v>2558.12</v>
      </c>
      <c r="Y137" s="1086">
        <v>0</v>
      </c>
      <c r="Z137" s="1086">
        <v>0</v>
      </c>
      <c r="AA137" s="1086">
        <v>0</v>
      </c>
      <c r="AB137" s="1086">
        <v>0</v>
      </c>
      <c r="AC137" s="1086">
        <v>21229.73</v>
      </c>
      <c r="AD137" s="1086" t="s">
        <v>248</v>
      </c>
      <c r="AE137" s="1086" t="s">
        <v>3877</v>
      </c>
      <c r="AF137" s="1086">
        <f t="shared" si="9"/>
        <v>21229.73000000001</v>
      </c>
      <c r="AG137" s="1086">
        <f t="shared" si="8"/>
        <v>0</v>
      </c>
      <c r="AQ137" s="1086">
        <v>0</v>
      </c>
      <c r="AR137" s="1086">
        <v>0</v>
      </c>
      <c r="AS137" s="1086">
        <v>21229.73</v>
      </c>
      <c r="AT137" s="1086">
        <f t="shared" si="10"/>
        <v>0</v>
      </c>
      <c r="AV137" s="1150">
        <f t="shared" ref="AV137:AV200" si="11">SUM(P137:AB137)+AQ137+AR137</f>
        <v>74513.679999999993</v>
      </c>
    </row>
    <row r="138" spans="1:48" x14ac:dyDescent="0.2">
      <c r="A138" s="19">
        <v>136</v>
      </c>
      <c r="B138" t="s">
        <v>1439</v>
      </c>
      <c r="C138" t="s">
        <v>1290</v>
      </c>
      <c r="D138" t="s">
        <v>1026</v>
      </c>
      <c r="E138" t="s">
        <v>2140</v>
      </c>
      <c r="F138" t="s">
        <v>2337</v>
      </c>
      <c r="G138" t="s">
        <v>1250</v>
      </c>
      <c r="H138" t="s">
        <v>3823</v>
      </c>
      <c r="I138">
        <v>2221</v>
      </c>
      <c r="J138" t="s">
        <v>3357</v>
      </c>
      <c r="K138" t="s">
        <v>3376</v>
      </c>
      <c r="L138" t="s">
        <v>2610</v>
      </c>
      <c r="M138" s="1086">
        <v>53631.19</v>
      </c>
      <c r="N138" s="1086">
        <v>0</v>
      </c>
      <c r="O138" s="1086">
        <v>106250</v>
      </c>
      <c r="P138" s="1086">
        <v>13971.66</v>
      </c>
      <c r="Q138" s="1086">
        <v>3948</v>
      </c>
      <c r="R138" s="1086">
        <v>0</v>
      </c>
      <c r="S138" s="1086">
        <v>5491.25</v>
      </c>
      <c r="T138" s="1086">
        <v>3730.62</v>
      </c>
      <c r="U138" s="1086">
        <v>3603.04</v>
      </c>
      <c r="V138" s="1086">
        <v>0</v>
      </c>
      <c r="W138" s="1086">
        <v>0</v>
      </c>
      <c r="X138" s="1086">
        <v>1320.59</v>
      </c>
      <c r="Y138" s="1086">
        <v>0</v>
      </c>
      <c r="Z138" s="1086">
        <v>0</v>
      </c>
      <c r="AA138" s="1086">
        <v>0</v>
      </c>
      <c r="AB138" s="1086">
        <v>0</v>
      </c>
      <c r="AC138" s="1086">
        <v>127816.03</v>
      </c>
      <c r="AD138" s="1086" t="s">
        <v>248</v>
      </c>
      <c r="AE138" s="1086" t="s">
        <v>3877</v>
      </c>
      <c r="AF138" s="1086">
        <f t="shared" si="9"/>
        <v>127816.03</v>
      </c>
      <c r="AG138" s="1086">
        <f t="shared" si="8"/>
        <v>0</v>
      </c>
      <c r="AQ138" s="1086">
        <v>0</v>
      </c>
      <c r="AR138" s="1086">
        <v>0</v>
      </c>
      <c r="AS138" s="1086">
        <v>127816.03</v>
      </c>
      <c r="AT138" s="1086">
        <f t="shared" si="10"/>
        <v>0</v>
      </c>
      <c r="AV138" s="1150">
        <f t="shared" si="11"/>
        <v>32065.16</v>
      </c>
    </row>
    <row r="139" spans="1:48" x14ac:dyDescent="0.2">
      <c r="A139" s="19">
        <v>137</v>
      </c>
      <c r="B139" t="s">
        <v>1440</v>
      </c>
      <c r="C139" t="s">
        <v>1290</v>
      </c>
      <c r="D139" t="s">
        <v>1005</v>
      </c>
      <c r="E139" t="s">
        <v>2141</v>
      </c>
      <c r="F139" t="s">
        <v>2338</v>
      </c>
      <c r="G139" t="s">
        <v>1250</v>
      </c>
      <c r="H139" t="s">
        <v>3822</v>
      </c>
      <c r="I139">
        <v>0</v>
      </c>
      <c r="L139" t="s">
        <v>2611</v>
      </c>
      <c r="M139" s="1086">
        <v>63892.9</v>
      </c>
      <c r="N139" s="1086">
        <v>45869.51</v>
      </c>
      <c r="O139" s="1086">
        <v>0</v>
      </c>
      <c r="P139" s="1086">
        <v>0</v>
      </c>
      <c r="Q139" s="1086">
        <v>0</v>
      </c>
      <c r="R139" s="1086">
        <v>0</v>
      </c>
      <c r="S139" s="1086">
        <v>0</v>
      </c>
      <c r="T139" s="1086">
        <v>0</v>
      </c>
      <c r="U139" s="1086">
        <v>21375.4</v>
      </c>
      <c r="V139" s="1086">
        <v>0</v>
      </c>
      <c r="W139" s="1086">
        <v>0</v>
      </c>
      <c r="X139" s="1086">
        <v>0</v>
      </c>
      <c r="Y139" s="1086">
        <v>0</v>
      </c>
      <c r="Z139" s="1086">
        <v>0</v>
      </c>
      <c r="AA139" s="1086">
        <v>0</v>
      </c>
      <c r="AB139" s="1086">
        <v>0</v>
      </c>
      <c r="AC139" s="1086">
        <v>88387.01</v>
      </c>
      <c r="AD139" s="1086" t="s">
        <v>248</v>
      </c>
      <c r="AE139" s="1086" t="s">
        <v>3877</v>
      </c>
      <c r="AF139" s="1086">
        <f t="shared" si="9"/>
        <v>88387.010000000009</v>
      </c>
      <c r="AG139" s="1086">
        <f t="shared" si="8"/>
        <v>0</v>
      </c>
      <c r="AQ139" s="1086">
        <v>0</v>
      </c>
      <c r="AR139" s="1086">
        <v>0</v>
      </c>
      <c r="AS139" s="1086">
        <v>88387.01</v>
      </c>
      <c r="AT139" s="1086">
        <f t="shared" si="10"/>
        <v>0</v>
      </c>
      <c r="AV139" s="1150">
        <f t="shared" si="11"/>
        <v>21375.4</v>
      </c>
    </row>
    <row r="140" spans="1:48" x14ac:dyDescent="0.2">
      <c r="A140" s="19">
        <v>138</v>
      </c>
      <c r="B140" t="s">
        <v>1441</v>
      </c>
      <c r="C140" t="s">
        <v>1290</v>
      </c>
      <c r="D140" t="s">
        <v>1005</v>
      </c>
      <c r="E140" t="s">
        <v>2141</v>
      </c>
      <c r="F140" t="s">
        <v>2338</v>
      </c>
      <c r="G140" t="s">
        <v>1250</v>
      </c>
      <c r="H140" t="s">
        <v>3823</v>
      </c>
      <c r="I140" t="s">
        <v>3839</v>
      </c>
      <c r="J140" t="s">
        <v>3355</v>
      </c>
      <c r="K140" t="s">
        <v>3377</v>
      </c>
      <c r="L140" t="s">
        <v>2612</v>
      </c>
      <c r="M140" s="1086">
        <v>38821.35</v>
      </c>
      <c r="N140" s="1086">
        <v>0</v>
      </c>
      <c r="O140" s="1086">
        <v>0</v>
      </c>
      <c r="P140" s="1086">
        <v>17309.419999999998</v>
      </c>
      <c r="Q140" s="1086">
        <v>0</v>
      </c>
      <c r="R140" s="1086">
        <v>0</v>
      </c>
      <c r="S140" s="1086">
        <v>2109.46</v>
      </c>
      <c r="T140" s="1086">
        <v>3479.31</v>
      </c>
      <c r="U140" s="1086">
        <v>1673.68</v>
      </c>
      <c r="V140" s="1086">
        <v>0</v>
      </c>
      <c r="W140" s="1086">
        <v>199.32</v>
      </c>
      <c r="X140" s="1086">
        <v>4112.45</v>
      </c>
      <c r="Y140" s="1086">
        <v>0</v>
      </c>
      <c r="Z140" s="1086">
        <v>0</v>
      </c>
      <c r="AA140" s="1086">
        <v>0</v>
      </c>
      <c r="AB140" s="1086">
        <v>0</v>
      </c>
      <c r="AC140" s="1086">
        <v>9937.7099999999991</v>
      </c>
      <c r="AD140" s="1086" t="s">
        <v>248</v>
      </c>
      <c r="AE140" s="1086" t="s">
        <v>3877</v>
      </c>
      <c r="AF140" s="1086">
        <f t="shared" si="9"/>
        <v>9937.7099999999991</v>
      </c>
      <c r="AG140" s="1086">
        <f t="shared" si="8"/>
        <v>0</v>
      </c>
      <c r="AQ140" s="1086">
        <v>0</v>
      </c>
      <c r="AR140" s="1086">
        <v>0</v>
      </c>
      <c r="AS140" s="1086">
        <v>9937.7099999999991</v>
      </c>
      <c r="AT140" s="1086">
        <f t="shared" si="10"/>
        <v>0</v>
      </c>
      <c r="AV140" s="1150">
        <f t="shared" si="11"/>
        <v>28883.64</v>
      </c>
    </row>
    <row r="141" spans="1:48" x14ac:dyDescent="0.2">
      <c r="A141" s="19">
        <v>139</v>
      </c>
      <c r="B141" t="s">
        <v>1442</v>
      </c>
      <c r="C141" t="s">
        <v>1290</v>
      </c>
      <c r="D141" t="s">
        <v>1005</v>
      </c>
      <c r="E141" t="s">
        <v>2141</v>
      </c>
      <c r="F141" t="s">
        <v>2338</v>
      </c>
      <c r="G141" t="s">
        <v>1250</v>
      </c>
      <c r="H141" t="s">
        <v>3823</v>
      </c>
      <c r="I141" t="s">
        <v>3839</v>
      </c>
      <c r="J141" t="s">
        <v>3355</v>
      </c>
      <c r="K141" t="s">
        <v>3378</v>
      </c>
      <c r="L141" t="s">
        <v>2613</v>
      </c>
      <c r="M141" s="1086">
        <v>104765.2</v>
      </c>
      <c r="N141" s="1086">
        <v>0</v>
      </c>
      <c r="O141" s="1086">
        <v>0</v>
      </c>
      <c r="P141" s="1086">
        <v>38379.29</v>
      </c>
      <c r="Q141" s="1086">
        <v>0</v>
      </c>
      <c r="R141" s="1086">
        <v>0</v>
      </c>
      <c r="S141" s="1086">
        <v>0</v>
      </c>
      <c r="T141" s="1086">
        <v>11770.89</v>
      </c>
      <c r="U141" s="1086">
        <v>6366.99</v>
      </c>
      <c r="V141" s="1086">
        <v>0</v>
      </c>
      <c r="W141" s="1086">
        <v>0</v>
      </c>
      <c r="X141" s="1086">
        <v>4559.42</v>
      </c>
      <c r="Y141" s="1086">
        <v>0</v>
      </c>
      <c r="Z141" s="1086">
        <v>0</v>
      </c>
      <c r="AA141" s="1086">
        <v>0</v>
      </c>
      <c r="AB141" s="1086">
        <v>0</v>
      </c>
      <c r="AC141" s="1086">
        <v>43688.61</v>
      </c>
      <c r="AD141" s="1086" t="s">
        <v>248</v>
      </c>
      <c r="AE141" s="1086" t="s">
        <v>3877</v>
      </c>
      <c r="AF141" s="1086">
        <f t="shared" si="9"/>
        <v>43688.61</v>
      </c>
      <c r="AG141" s="1086">
        <f t="shared" si="8"/>
        <v>0</v>
      </c>
      <c r="AQ141" s="1086">
        <v>0</v>
      </c>
      <c r="AR141" s="1086">
        <v>0</v>
      </c>
      <c r="AS141" s="1086">
        <v>43688.61</v>
      </c>
      <c r="AT141" s="1086">
        <f t="shared" si="10"/>
        <v>0</v>
      </c>
      <c r="AV141" s="1150">
        <f t="shared" si="11"/>
        <v>61076.59</v>
      </c>
    </row>
    <row r="142" spans="1:48" x14ac:dyDescent="0.2">
      <c r="A142" s="19">
        <v>140</v>
      </c>
      <c r="B142" t="s">
        <v>1443</v>
      </c>
      <c r="C142" t="s">
        <v>1290</v>
      </c>
      <c r="D142" t="s">
        <v>1005</v>
      </c>
      <c r="E142" t="s">
        <v>2141</v>
      </c>
      <c r="F142" t="s">
        <v>2338</v>
      </c>
      <c r="G142" t="s">
        <v>1250</v>
      </c>
      <c r="H142" t="s">
        <v>3823</v>
      </c>
      <c r="I142" t="s">
        <v>3839</v>
      </c>
      <c r="J142" t="s">
        <v>3355</v>
      </c>
      <c r="K142" t="s">
        <v>3379</v>
      </c>
      <c r="L142" t="s">
        <v>2614</v>
      </c>
      <c r="M142" s="1086">
        <v>272670.26</v>
      </c>
      <c r="N142" s="1086">
        <v>0</v>
      </c>
      <c r="O142" s="1086">
        <v>0</v>
      </c>
      <c r="P142" s="1086">
        <v>64074.26</v>
      </c>
      <c r="Q142" s="1086">
        <v>0</v>
      </c>
      <c r="R142" s="1086">
        <v>0</v>
      </c>
      <c r="S142" s="1086">
        <v>0</v>
      </c>
      <c r="T142" s="1086">
        <v>16980.38</v>
      </c>
      <c r="U142" s="1086">
        <v>413.84</v>
      </c>
      <c r="V142" s="1086">
        <v>0</v>
      </c>
      <c r="W142" s="1086">
        <v>252.07</v>
      </c>
      <c r="X142" s="1086">
        <v>5672.02</v>
      </c>
      <c r="Y142" s="1086">
        <v>0</v>
      </c>
      <c r="Z142" s="1086">
        <v>0</v>
      </c>
      <c r="AA142" s="1086">
        <v>0</v>
      </c>
      <c r="AB142" s="1086">
        <v>0</v>
      </c>
      <c r="AC142" s="1086">
        <v>185277.69</v>
      </c>
      <c r="AD142" s="1086" t="s">
        <v>248</v>
      </c>
      <c r="AE142" s="1086" t="s">
        <v>3877</v>
      </c>
      <c r="AF142" s="1086">
        <f t="shared" si="9"/>
        <v>185277.69</v>
      </c>
      <c r="AG142" s="1086">
        <f t="shared" si="8"/>
        <v>0</v>
      </c>
      <c r="AQ142" s="1086">
        <v>0</v>
      </c>
      <c r="AR142" s="1086">
        <v>0</v>
      </c>
      <c r="AS142" s="1086">
        <v>185277.69</v>
      </c>
      <c r="AT142" s="1086">
        <f t="shared" si="10"/>
        <v>0</v>
      </c>
      <c r="AV142" s="1150">
        <f t="shared" si="11"/>
        <v>87392.57</v>
      </c>
    </row>
    <row r="143" spans="1:48" x14ac:dyDescent="0.2">
      <c r="A143" s="19">
        <v>141</v>
      </c>
      <c r="B143" t="s">
        <v>1444</v>
      </c>
      <c r="C143" t="s">
        <v>1290</v>
      </c>
      <c r="D143" t="s">
        <v>1005</v>
      </c>
      <c r="E143" t="s">
        <v>2141</v>
      </c>
      <c r="F143" t="s">
        <v>2338</v>
      </c>
      <c r="G143" t="s">
        <v>1250</v>
      </c>
      <c r="H143" t="s">
        <v>3823</v>
      </c>
      <c r="I143" t="s">
        <v>3839</v>
      </c>
      <c r="J143" t="s">
        <v>3355</v>
      </c>
      <c r="K143" t="s">
        <v>3380</v>
      </c>
      <c r="L143" t="s">
        <v>2615</v>
      </c>
      <c r="M143" s="1086">
        <v>117858.76</v>
      </c>
      <c r="N143" s="1086">
        <v>0</v>
      </c>
      <c r="O143" s="1086">
        <v>76666</v>
      </c>
      <c r="P143" s="1086">
        <v>3750</v>
      </c>
      <c r="Q143" s="1086">
        <v>0</v>
      </c>
      <c r="R143" s="1086">
        <v>0</v>
      </c>
      <c r="S143" s="1086">
        <v>1998</v>
      </c>
      <c r="T143" s="1086">
        <v>1150.03</v>
      </c>
      <c r="U143" s="1086">
        <v>1472.06</v>
      </c>
      <c r="V143" s="1086">
        <v>0</v>
      </c>
      <c r="W143" s="1086">
        <v>717.21</v>
      </c>
      <c r="X143" s="1086">
        <v>4319.91</v>
      </c>
      <c r="Y143" s="1086">
        <v>0</v>
      </c>
      <c r="Z143" s="1086">
        <v>0</v>
      </c>
      <c r="AA143" s="1086">
        <v>0</v>
      </c>
      <c r="AB143" s="1086">
        <v>0</v>
      </c>
      <c r="AC143" s="1086">
        <v>181117.55</v>
      </c>
      <c r="AD143" s="1086" t="s">
        <v>248</v>
      </c>
      <c r="AE143" s="1086" t="s">
        <v>3877</v>
      </c>
      <c r="AF143" s="1086">
        <f t="shared" si="9"/>
        <v>181117.55000000002</v>
      </c>
      <c r="AG143" s="1086">
        <f t="shared" si="8"/>
        <v>0</v>
      </c>
      <c r="AQ143" s="1086">
        <v>0</v>
      </c>
      <c r="AR143" s="1086">
        <v>0</v>
      </c>
      <c r="AS143" s="1086">
        <v>181117.55</v>
      </c>
      <c r="AT143" s="1086">
        <f t="shared" si="10"/>
        <v>0</v>
      </c>
      <c r="AV143" s="1150">
        <f t="shared" si="11"/>
        <v>13407.21</v>
      </c>
    </row>
    <row r="144" spans="1:48" x14ac:dyDescent="0.2">
      <c r="A144" s="19">
        <v>142</v>
      </c>
      <c r="B144" t="s">
        <v>1445</v>
      </c>
      <c r="C144" t="s">
        <v>1290</v>
      </c>
      <c r="D144" t="s">
        <v>1005</v>
      </c>
      <c r="E144" t="s">
        <v>2141</v>
      </c>
      <c r="F144" t="s">
        <v>2338</v>
      </c>
      <c r="G144" t="s">
        <v>1250</v>
      </c>
      <c r="H144" t="s">
        <v>3823</v>
      </c>
      <c r="I144" t="s">
        <v>3839</v>
      </c>
      <c r="J144" t="s">
        <v>3355</v>
      </c>
      <c r="K144" t="s">
        <v>3381</v>
      </c>
      <c r="L144" t="s">
        <v>2616</v>
      </c>
      <c r="M144" s="1086">
        <v>181915.71</v>
      </c>
      <c r="N144" s="1086">
        <v>0</v>
      </c>
      <c r="O144" s="1086">
        <v>0</v>
      </c>
      <c r="P144" s="1086">
        <v>20833.349999999999</v>
      </c>
      <c r="Q144" s="1086">
        <v>0</v>
      </c>
      <c r="R144" s="1086">
        <v>0</v>
      </c>
      <c r="S144" s="1086">
        <v>6665.23</v>
      </c>
      <c r="T144" s="1086">
        <v>7195.85</v>
      </c>
      <c r="U144" s="1086">
        <v>722.35</v>
      </c>
      <c r="V144" s="1086">
        <v>0</v>
      </c>
      <c r="W144" s="1086">
        <v>0</v>
      </c>
      <c r="X144" s="1086">
        <v>3373.34</v>
      </c>
      <c r="Y144" s="1086">
        <v>0</v>
      </c>
      <c r="Z144" s="1086">
        <v>0</v>
      </c>
      <c r="AA144" s="1086">
        <v>2464.9899999999998</v>
      </c>
      <c r="AB144" s="1086">
        <v>0</v>
      </c>
      <c r="AC144" s="1086">
        <v>140660.6</v>
      </c>
      <c r="AD144" s="1086" t="s">
        <v>248</v>
      </c>
      <c r="AE144" s="1086" t="s">
        <v>3877</v>
      </c>
      <c r="AF144" s="1086">
        <f t="shared" si="9"/>
        <v>140660.6</v>
      </c>
      <c r="AG144" s="1086">
        <f t="shared" si="8"/>
        <v>0</v>
      </c>
      <c r="AQ144" s="1086">
        <v>0</v>
      </c>
      <c r="AR144" s="1086">
        <v>0</v>
      </c>
      <c r="AS144" s="1086">
        <v>140660.6</v>
      </c>
      <c r="AT144" s="1086">
        <f t="shared" si="10"/>
        <v>0</v>
      </c>
      <c r="AV144" s="1150">
        <f t="shared" si="11"/>
        <v>41255.109999999993</v>
      </c>
    </row>
    <row r="145" spans="1:48" x14ac:dyDescent="0.2">
      <c r="A145" s="19">
        <v>143</v>
      </c>
      <c r="B145" t="s">
        <v>1446</v>
      </c>
      <c r="C145" t="s">
        <v>1290</v>
      </c>
      <c r="D145" t="s">
        <v>1058</v>
      </c>
      <c r="E145" t="s">
        <v>2142</v>
      </c>
      <c r="F145" t="s">
        <v>2339</v>
      </c>
      <c r="G145" t="s">
        <v>1250</v>
      </c>
      <c r="H145" t="s">
        <v>3822</v>
      </c>
      <c r="I145" t="s">
        <v>3839</v>
      </c>
      <c r="J145" t="s">
        <v>3313</v>
      </c>
      <c r="K145" t="s">
        <v>3382</v>
      </c>
      <c r="L145" t="s">
        <v>2617</v>
      </c>
      <c r="M145" s="1086">
        <v>126588.77</v>
      </c>
      <c r="N145" s="1086">
        <v>89669.24</v>
      </c>
      <c r="O145" s="1086">
        <v>2380</v>
      </c>
      <c r="P145" s="1086">
        <v>27847.200000000001</v>
      </c>
      <c r="Q145" s="1086">
        <v>0</v>
      </c>
      <c r="R145" s="1086">
        <v>0</v>
      </c>
      <c r="S145" s="1086">
        <v>21898.799999999999</v>
      </c>
      <c r="T145" s="1086">
        <v>6311.25</v>
      </c>
      <c r="U145" s="1086">
        <v>26218.25</v>
      </c>
      <c r="V145" s="1086">
        <v>0</v>
      </c>
      <c r="W145" s="1086">
        <v>2087.2800000000002</v>
      </c>
      <c r="X145" s="1086">
        <v>6136.26</v>
      </c>
      <c r="Y145" s="1086">
        <v>-199.5</v>
      </c>
      <c r="Z145" s="1086">
        <v>0</v>
      </c>
      <c r="AA145" s="1086">
        <v>7949.57</v>
      </c>
      <c r="AB145" s="1086">
        <v>0</v>
      </c>
      <c r="AC145" s="1086">
        <v>120388.9</v>
      </c>
      <c r="AD145" s="1086" t="s">
        <v>248</v>
      </c>
      <c r="AE145" s="1086" t="s">
        <v>3877</v>
      </c>
      <c r="AF145" s="1086">
        <f t="shared" si="9"/>
        <v>120388.90000000002</v>
      </c>
      <c r="AG145" s="1086">
        <f t="shared" si="8"/>
        <v>0</v>
      </c>
      <c r="AQ145" s="1086">
        <v>0</v>
      </c>
      <c r="AR145" s="1086">
        <v>0</v>
      </c>
      <c r="AS145" s="1086">
        <v>120388.9</v>
      </c>
      <c r="AT145" s="1086">
        <f t="shared" si="10"/>
        <v>0</v>
      </c>
      <c r="AV145" s="1150">
        <f t="shared" si="11"/>
        <v>98249.109999999986</v>
      </c>
    </row>
    <row r="146" spans="1:48" x14ac:dyDescent="0.2">
      <c r="A146" s="19">
        <v>144</v>
      </c>
      <c r="B146" t="s">
        <v>1447</v>
      </c>
      <c r="C146" t="s">
        <v>1290</v>
      </c>
      <c r="D146" t="s">
        <v>1058</v>
      </c>
      <c r="E146" t="s">
        <v>2142</v>
      </c>
      <c r="F146" t="s">
        <v>2339</v>
      </c>
      <c r="G146" t="s">
        <v>1250</v>
      </c>
      <c r="H146" t="s">
        <v>3822</v>
      </c>
      <c r="I146" t="s">
        <v>3839</v>
      </c>
      <c r="J146" t="s">
        <v>3313</v>
      </c>
      <c r="K146" t="s">
        <v>3383</v>
      </c>
      <c r="L146" t="s">
        <v>2618</v>
      </c>
      <c r="M146" s="1086">
        <v>43263.45</v>
      </c>
      <c r="N146" s="1086">
        <v>169843.22</v>
      </c>
      <c r="O146" s="1086">
        <v>975.55</v>
      </c>
      <c r="P146" s="1086">
        <v>109936.8</v>
      </c>
      <c r="Q146" s="1086">
        <v>0</v>
      </c>
      <c r="R146" s="1086">
        <v>0</v>
      </c>
      <c r="S146" s="1086">
        <v>0</v>
      </c>
      <c r="T146" s="1086">
        <v>39905.660000000003</v>
      </c>
      <c r="U146" s="1086">
        <v>10650.49</v>
      </c>
      <c r="V146" s="1086">
        <v>0</v>
      </c>
      <c r="W146" s="1086">
        <v>123.5</v>
      </c>
      <c r="X146" s="1086">
        <v>659.6</v>
      </c>
      <c r="Y146" s="1086">
        <v>0</v>
      </c>
      <c r="Z146" s="1086">
        <v>0</v>
      </c>
      <c r="AA146" s="1086">
        <v>5909.51</v>
      </c>
      <c r="AB146" s="1086">
        <v>0</v>
      </c>
      <c r="AC146" s="1086">
        <v>46896.66</v>
      </c>
      <c r="AD146" s="1086" t="s">
        <v>248</v>
      </c>
      <c r="AE146" s="1086" t="s">
        <v>3877</v>
      </c>
      <c r="AF146" s="1086">
        <f t="shared" si="9"/>
        <v>46896.659999999945</v>
      </c>
      <c r="AG146" s="1086">
        <f t="shared" si="8"/>
        <v>5.8207660913467407E-11</v>
      </c>
      <c r="AQ146" s="1086">
        <v>0</v>
      </c>
      <c r="AR146" s="1086">
        <v>0</v>
      </c>
      <c r="AS146" s="1086">
        <v>46896.66</v>
      </c>
      <c r="AT146" s="1086">
        <f t="shared" si="10"/>
        <v>0</v>
      </c>
      <c r="AV146" s="1150">
        <f t="shared" si="11"/>
        <v>167185.56000000003</v>
      </c>
    </row>
    <row r="147" spans="1:48" x14ac:dyDescent="0.2">
      <c r="A147" s="19">
        <v>145</v>
      </c>
      <c r="B147" t="s">
        <v>1448</v>
      </c>
      <c r="C147" t="s">
        <v>1290</v>
      </c>
      <c r="D147" t="s">
        <v>1058</v>
      </c>
      <c r="E147" t="s">
        <v>2142</v>
      </c>
      <c r="F147" t="s">
        <v>2339</v>
      </c>
      <c r="G147" t="s">
        <v>1250</v>
      </c>
      <c r="H147" t="s">
        <v>3825</v>
      </c>
      <c r="I147" t="s">
        <v>3839</v>
      </c>
      <c r="J147" t="s">
        <v>3313</v>
      </c>
      <c r="K147" t="s">
        <v>3384</v>
      </c>
      <c r="L147" t="s">
        <v>2619</v>
      </c>
      <c r="M147" s="1086">
        <v>227004.14</v>
      </c>
      <c r="N147" s="1086">
        <v>0</v>
      </c>
      <c r="O147" s="1086">
        <v>186082.12</v>
      </c>
      <c r="P147" s="1086">
        <v>0</v>
      </c>
      <c r="Q147" s="1086">
        <v>0</v>
      </c>
      <c r="R147" s="1086">
        <v>0</v>
      </c>
      <c r="S147" s="1086">
        <v>0</v>
      </c>
      <c r="T147" s="1086">
        <v>0</v>
      </c>
      <c r="U147" s="1086">
        <v>51015.34</v>
      </c>
      <c r="V147" s="1086">
        <v>0</v>
      </c>
      <c r="W147" s="1086">
        <v>247.52</v>
      </c>
      <c r="X147" s="1086">
        <v>32308.03</v>
      </c>
      <c r="Y147" s="1086">
        <v>0</v>
      </c>
      <c r="Z147" s="1086">
        <v>0</v>
      </c>
      <c r="AA147" s="1086">
        <v>612.65</v>
      </c>
      <c r="AB147" s="1086">
        <v>0</v>
      </c>
      <c r="AC147" s="1086">
        <v>328902.71999999997</v>
      </c>
      <c r="AD147" s="1086" t="s">
        <v>248</v>
      </c>
      <c r="AE147" s="1086" t="s">
        <v>3877</v>
      </c>
      <c r="AF147" s="1086">
        <f t="shared" si="9"/>
        <v>328902.72000000003</v>
      </c>
      <c r="AG147" s="1086">
        <f t="shared" si="8"/>
        <v>0</v>
      </c>
      <c r="AQ147" s="1086">
        <v>0</v>
      </c>
      <c r="AR147" s="1086">
        <v>0</v>
      </c>
      <c r="AS147" s="1086">
        <v>328902.72000000003</v>
      </c>
      <c r="AT147" s="1086">
        <f t="shared" si="10"/>
        <v>0</v>
      </c>
      <c r="AV147" s="1150">
        <f t="shared" si="11"/>
        <v>84183.539999999979</v>
      </c>
    </row>
    <row r="148" spans="1:48" x14ac:dyDescent="0.2">
      <c r="A148" s="19">
        <v>146</v>
      </c>
      <c r="B148" t="s">
        <v>1449</v>
      </c>
      <c r="C148" t="s">
        <v>1290</v>
      </c>
      <c r="D148" t="s">
        <v>1049</v>
      </c>
      <c r="E148" t="s">
        <v>2143</v>
      </c>
      <c r="F148" t="s">
        <v>2340</v>
      </c>
      <c r="G148" t="s">
        <v>1250</v>
      </c>
      <c r="H148" t="s">
        <v>3825</v>
      </c>
      <c r="I148" t="s">
        <v>3839</v>
      </c>
      <c r="J148" t="s">
        <v>3270</v>
      </c>
      <c r="K148" t="s">
        <v>3385</v>
      </c>
      <c r="L148" t="s">
        <v>2620</v>
      </c>
      <c r="M148" s="1086">
        <v>5377.06</v>
      </c>
      <c r="N148" s="1086">
        <v>0</v>
      </c>
      <c r="O148" s="1086">
        <v>0</v>
      </c>
      <c r="P148" s="1086">
        <v>0</v>
      </c>
      <c r="Q148" s="1086">
        <v>0</v>
      </c>
      <c r="R148" s="1086">
        <v>0</v>
      </c>
      <c r="S148" s="1086">
        <v>0</v>
      </c>
      <c r="T148" s="1086">
        <v>0</v>
      </c>
      <c r="U148" s="1086">
        <v>1423.46</v>
      </c>
      <c r="V148" s="1086">
        <v>0</v>
      </c>
      <c r="W148" s="1086">
        <v>0</v>
      </c>
      <c r="X148" s="1086">
        <v>0</v>
      </c>
      <c r="Y148" s="1086">
        <v>0</v>
      </c>
      <c r="Z148" s="1086">
        <v>0</v>
      </c>
      <c r="AA148" s="1086">
        <v>0</v>
      </c>
      <c r="AB148" s="1086">
        <v>0</v>
      </c>
      <c r="AC148" s="1086">
        <v>3953.6</v>
      </c>
      <c r="AD148" s="1086" t="s">
        <v>248</v>
      </c>
      <c r="AE148" s="1086" t="s">
        <v>3877</v>
      </c>
      <c r="AF148" s="1086">
        <f t="shared" si="9"/>
        <v>3953.6000000000004</v>
      </c>
      <c r="AG148" s="1086">
        <f t="shared" si="8"/>
        <v>0</v>
      </c>
      <c r="AQ148" s="1086">
        <v>0</v>
      </c>
      <c r="AR148" s="1086">
        <v>0</v>
      </c>
      <c r="AS148" s="1086">
        <v>3953.6</v>
      </c>
      <c r="AT148" s="1086">
        <f t="shared" si="10"/>
        <v>0</v>
      </c>
      <c r="AV148" s="1150">
        <f t="shared" si="11"/>
        <v>1423.46</v>
      </c>
    </row>
    <row r="149" spans="1:48" x14ac:dyDescent="0.2">
      <c r="A149" s="19">
        <v>147</v>
      </c>
      <c r="B149" t="s">
        <v>1450</v>
      </c>
      <c r="C149" t="s">
        <v>1290</v>
      </c>
      <c r="D149" t="s">
        <v>1049</v>
      </c>
      <c r="E149" t="s">
        <v>2143</v>
      </c>
      <c r="F149" t="s">
        <v>2340</v>
      </c>
      <c r="G149" t="s">
        <v>1250</v>
      </c>
      <c r="H149" t="s">
        <v>3825</v>
      </c>
      <c r="I149" t="s">
        <v>3839</v>
      </c>
      <c r="J149" t="s">
        <v>3270</v>
      </c>
      <c r="K149" t="s">
        <v>3386</v>
      </c>
      <c r="L149" t="s">
        <v>2621</v>
      </c>
      <c r="M149" s="1086">
        <v>89095.69</v>
      </c>
      <c r="N149" s="1086">
        <v>0</v>
      </c>
      <c r="O149" s="1086">
        <v>41771.25</v>
      </c>
      <c r="P149" s="1086">
        <v>1150</v>
      </c>
      <c r="Q149" s="1086">
        <v>0</v>
      </c>
      <c r="R149" s="1086">
        <v>0</v>
      </c>
      <c r="S149" s="1086">
        <v>6487.5</v>
      </c>
      <c r="T149" s="1086">
        <v>899.75</v>
      </c>
      <c r="U149" s="1086">
        <v>29275.83</v>
      </c>
      <c r="V149" s="1086">
        <v>0</v>
      </c>
      <c r="W149" s="1086">
        <v>2583.17</v>
      </c>
      <c r="X149" s="1086">
        <v>23491.15</v>
      </c>
      <c r="Y149" s="1086">
        <v>-4005</v>
      </c>
      <c r="Z149" s="1086">
        <v>0</v>
      </c>
      <c r="AA149" s="1086">
        <v>1471</v>
      </c>
      <c r="AB149" s="1086">
        <v>0</v>
      </c>
      <c r="AC149" s="1086">
        <v>69513.539999999994</v>
      </c>
      <c r="AD149" s="1086" t="s">
        <v>248</v>
      </c>
      <c r="AE149" s="1086" t="s">
        <v>3877</v>
      </c>
      <c r="AF149" s="1086">
        <f t="shared" si="9"/>
        <v>69513.540000000008</v>
      </c>
      <c r="AG149" s="1086">
        <f t="shared" si="8"/>
        <v>0</v>
      </c>
      <c r="AQ149" s="1086">
        <v>0</v>
      </c>
      <c r="AR149" s="1086">
        <v>0</v>
      </c>
      <c r="AS149" s="1086">
        <v>69513.539999999994</v>
      </c>
      <c r="AT149" s="1086">
        <f t="shared" si="10"/>
        <v>0</v>
      </c>
      <c r="AV149" s="1150">
        <f t="shared" si="11"/>
        <v>61353.4</v>
      </c>
    </row>
    <row r="150" spans="1:48" x14ac:dyDescent="0.2">
      <c r="A150" s="19">
        <v>148</v>
      </c>
      <c r="B150" t="s">
        <v>1451</v>
      </c>
      <c r="C150" t="s">
        <v>1290</v>
      </c>
      <c r="D150" t="s">
        <v>1027</v>
      </c>
      <c r="E150" t="s">
        <v>2144</v>
      </c>
      <c r="F150" t="s">
        <v>2341</v>
      </c>
      <c r="G150" t="s">
        <v>1254</v>
      </c>
      <c r="H150" t="s">
        <v>3823</v>
      </c>
      <c r="I150" t="s">
        <v>3839</v>
      </c>
      <c r="J150" t="s">
        <v>3246</v>
      </c>
      <c r="K150" t="s">
        <v>3387</v>
      </c>
      <c r="L150" t="s">
        <v>2622</v>
      </c>
      <c r="M150" s="1086">
        <v>15442.29</v>
      </c>
      <c r="N150" s="1086">
        <v>0</v>
      </c>
      <c r="O150" s="1086">
        <v>0</v>
      </c>
      <c r="P150" s="1086">
        <v>3000</v>
      </c>
      <c r="Q150" s="1086">
        <v>0</v>
      </c>
      <c r="R150" s="1086">
        <v>0</v>
      </c>
      <c r="S150" s="1086">
        <v>0</v>
      </c>
      <c r="T150" s="1086">
        <v>94.5</v>
      </c>
      <c r="U150" s="1086">
        <v>2440.16</v>
      </c>
      <c r="V150" s="1086">
        <v>0</v>
      </c>
      <c r="W150" s="1086">
        <v>0</v>
      </c>
      <c r="X150" s="1086">
        <v>0</v>
      </c>
      <c r="Y150" s="1086">
        <v>-996.43</v>
      </c>
      <c r="Z150" s="1086">
        <v>0</v>
      </c>
      <c r="AA150" s="1086">
        <v>4.7300000000000004</v>
      </c>
      <c r="AB150" s="1086">
        <v>0</v>
      </c>
      <c r="AC150" s="1086">
        <v>10899.33</v>
      </c>
      <c r="AD150" s="1086" t="s">
        <v>248</v>
      </c>
      <c r="AE150" s="1086" t="s">
        <v>3877</v>
      </c>
      <c r="AF150" s="1086">
        <f t="shared" si="9"/>
        <v>10899.330000000002</v>
      </c>
      <c r="AG150" s="1086">
        <f t="shared" si="8"/>
        <v>0</v>
      </c>
      <c r="AQ150" s="1086">
        <v>0</v>
      </c>
      <c r="AR150" s="1086">
        <v>0</v>
      </c>
      <c r="AS150" s="1086">
        <v>10899.33</v>
      </c>
      <c r="AT150" s="1086">
        <f t="shared" si="10"/>
        <v>0</v>
      </c>
      <c r="AV150" s="1150">
        <f t="shared" si="11"/>
        <v>4542.9599999999991</v>
      </c>
    </row>
    <row r="151" spans="1:48" x14ac:dyDescent="0.2">
      <c r="A151" s="19">
        <v>149</v>
      </c>
      <c r="B151" t="s">
        <v>1452</v>
      </c>
      <c r="C151" t="s">
        <v>1290</v>
      </c>
      <c r="D151" t="s">
        <v>1050</v>
      </c>
      <c r="E151" t="s">
        <v>2145</v>
      </c>
      <c r="F151" t="s">
        <v>2342</v>
      </c>
      <c r="G151" t="s">
        <v>1250</v>
      </c>
      <c r="H151" t="s">
        <v>3822</v>
      </c>
      <c r="I151" t="s">
        <v>3839</v>
      </c>
      <c r="J151" t="s">
        <v>3272</v>
      </c>
      <c r="K151" t="s">
        <v>3388</v>
      </c>
      <c r="L151" t="s">
        <v>2623</v>
      </c>
      <c r="M151" s="1086">
        <v>91111.47</v>
      </c>
      <c r="N151" s="1086">
        <v>497881.54</v>
      </c>
      <c r="O151" s="1086">
        <v>2000</v>
      </c>
      <c r="P151" s="1086">
        <v>249167.26</v>
      </c>
      <c r="Q151" s="1086">
        <v>0</v>
      </c>
      <c r="R151" s="1086">
        <v>0</v>
      </c>
      <c r="S151" s="1086">
        <v>69</v>
      </c>
      <c r="T151" s="1086">
        <v>37443.74</v>
      </c>
      <c r="U151" s="1086">
        <v>55250.61</v>
      </c>
      <c r="V151" s="1086">
        <v>16154.79</v>
      </c>
      <c r="W151" s="1086">
        <v>13516.15</v>
      </c>
      <c r="X151" s="1086">
        <v>7018.08</v>
      </c>
      <c r="Y151" s="1086">
        <v>0</v>
      </c>
      <c r="Z151" s="1086">
        <v>0</v>
      </c>
      <c r="AA151" s="1086">
        <v>16207.11</v>
      </c>
      <c r="AB151" s="1086">
        <v>0</v>
      </c>
      <c r="AC151" s="1086">
        <v>196166.27</v>
      </c>
      <c r="AD151" s="1086" t="s">
        <v>248</v>
      </c>
      <c r="AE151" s="1086" t="s">
        <v>3877</v>
      </c>
      <c r="AF151" s="1086">
        <f t="shared" si="9"/>
        <v>196166.27000000002</v>
      </c>
      <c r="AG151" s="1086">
        <f t="shared" si="8"/>
        <v>0</v>
      </c>
      <c r="AQ151" s="1086">
        <v>0</v>
      </c>
      <c r="AR151" s="1086">
        <v>0</v>
      </c>
      <c r="AS151" s="1086">
        <v>196166.27</v>
      </c>
      <c r="AT151" s="1086">
        <f t="shared" si="10"/>
        <v>0</v>
      </c>
      <c r="AV151" s="1150">
        <f t="shared" si="11"/>
        <v>394826.74</v>
      </c>
    </row>
    <row r="152" spans="1:48" x14ac:dyDescent="0.2">
      <c r="A152" s="19">
        <v>150</v>
      </c>
      <c r="B152" t="s">
        <v>1453</v>
      </c>
      <c r="C152" t="s">
        <v>1290</v>
      </c>
      <c r="D152" t="s">
        <v>1050</v>
      </c>
      <c r="E152" t="s">
        <v>2145</v>
      </c>
      <c r="F152" t="s">
        <v>2342</v>
      </c>
      <c r="G152" t="s">
        <v>1250</v>
      </c>
      <c r="H152" t="s">
        <v>3825</v>
      </c>
      <c r="I152" t="s">
        <v>3839</v>
      </c>
      <c r="J152" t="s">
        <v>3272</v>
      </c>
      <c r="K152" t="s">
        <v>3389</v>
      </c>
      <c r="L152" t="s">
        <v>2624</v>
      </c>
      <c r="M152" s="1086">
        <v>21531.83</v>
      </c>
      <c r="N152" s="1086">
        <v>14000</v>
      </c>
      <c r="O152" s="1086">
        <v>0</v>
      </c>
      <c r="P152" s="1086">
        <v>3000</v>
      </c>
      <c r="Q152" s="1086">
        <v>0</v>
      </c>
      <c r="R152" s="1086">
        <v>200</v>
      </c>
      <c r="S152" s="1086">
        <v>0</v>
      </c>
      <c r="T152" s="1086">
        <v>749.96</v>
      </c>
      <c r="U152" s="1086">
        <v>6758.68</v>
      </c>
      <c r="V152" s="1086">
        <v>0</v>
      </c>
      <c r="W152" s="1086">
        <v>3767.12</v>
      </c>
      <c r="X152" s="1086">
        <v>3476.1</v>
      </c>
      <c r="Y152" s="1086">
        <v>0</v>
      </c>
      <c r="Z152" s="1086">
        <v>0</v>
      </c>
      <c r="AA152" s="1086">
        <v>465.67</v>
      </c>
      <c r="AB152" s="1086">
        <v>0</v>
      </c>
      <c r="AC152" s="1086">
        <v>17114.3</v>
      </c>
      <c r="AD152" s="1086" t="s">
        <v>248</v>
      </c>
      <c r="AE152" s="1086" t="s">
        <v>3877</v>
      </c>
      <c r="AF152" s="1086">
        <f t="shared" si="9"/>
        <v>17114.300000000007</v>
      </c>
      <c r="AG152" s="1086">
        <f t="shared" si="8"/>
        <v>0</v>
      </c>
      <c r="AQ152" s="1086">
        <v>0</v>
      </c>
      <c r="AR152" s="1086">
        <v>0</v>
      </c>
      <c r="AS152" s="1086">
        <v>17114.3</v>
      </c>
      <c r="AT152" s="1086">
        <f t="shared" si="10"/>
        <v>0</v>
      </c>
      <c r="AV152" s="1150">
        <f t="shared" si="11"/>
        <v>18417.529999999995</v>
      </c>
    </row>
    <row r="153" spans="1:48" x14ac:dyDescent="0.2">
      <c r="A153" s="19">
        <v>151</v>
      </c>
      <c r="B153" t="s">
        <v>1454</v>
      </c>
      <c r="C153" t="s">
        <v>1290</v>
      </c>
      <c r="D153" t="s">
        <v>1027</v>
      </c>
      <c r="E153" t="s">
        <v>2146</v>
      </c>
      <c r="F153" t="s">
        <v>2343</v>
      </c>
      <c r="G153" t="s">
        <v>1254</v>
      </c>
      <c r="H153" t="s">
        <v>3823</v>
      </c>
      <c r="I153">
        <v>0</v>
      </c>
      <c r="L153" t="s">
        <v>2625</v>
      </c>
      <c r="M153" s="1086">
        <v>258911.53</v>
      </c>
      <c r="N153" s="1086">
        <v>0</v>
      </c>
      <c r="O153" s="1086">
        <v>0</v>
      </c>
      <c r="P153" s="1086">
        <v>25559.03</v>
      </c>
      <c r="Q153" s="1086">
        <v>0</v>
      </c>
      <c r="R153" s="1086">
        <v>0</v>
      </c>
      <c r="S153" s="1086">
        <v>0</v>
      </c>
      <c r="T153" s="1086">
        <v>5977.08</v>
      </c>
      <c r="U153" s="1086">
        <v>1393.19</v>
      </c>
      <c r="V153" s="1086">
        <v>0</v>
      </c>
      <c r="W153" s="1086">
        <v>0</v>
      </c>
      <c r="X153" s="1086">
        <v>2356.8200000000002</v>
      </c>
      <c r="Y153" s="1086">
        <v>0</v>
      </c>
      <c r="Z153" s="1086">
        <v>0</v>
      </c>
      <c r="AA153" s="1086">
        <v>223625.41</v>
      </c>
      <c r="AB153" s="1086">
        <v>0</v>
      </c>
      <c r="AC153" s="1086">
        <v>0</v>
      </c>
      <c r="AD153" s="1086" t="s">
        <v>248</v>
      </c>
      <c r="AE153" s="1086" t="s">
        <v>3877</v>
      </c>
      <c r="AF153" s="1086">
        <f t="shared" si="9"/>
        <v>0</v>
      </c>
      <c r="AG153" s="1086">
        <f t="shared" si="8"/>
        <v>0</v>
      </c>
      <c r="AQ153" s="1086">
        <v>0</v>
      </c>
      <c r="AR153" s="1086">
        <v>0</v>
      </c>
      <c r="AS153" s="1086">
        <v>0</v>
      </c>
      <c r="AT153" s="1086">
        <f t="shared" si="10"/>
        <v>0</v>
      </c>
      <c r="AV153" s="1150">
        <f t="shared" si="11"/>
        <v>258911.53</v>
      </c>
    </row>
    <row r="154" spans="1:48" x14ac:dyDescent="0.2">
      <c r="A154" s="19">
        <v>152</v>
      </c>
      <c r="B154" t="s">
        <v>1455</v>
      </c>
      <c r="C154" t="s">
        <v>1290</v>
      </c>
      <c r="D154" t="s">
        <v>1036</v>
      </c>
      <c r="E154" t="s">
        <v>2147</v>
      </c>
      <c r="F154" t="s">
        <v>2344</v>
      </c>
      <c r="G154" t="s">
        <v>1250</v>
      </c>
      <c r="H154" t="s">
        <v>3825</v>
      </c>
      <c r="I154" t="s">
        <v>3839</v>
      </c>
      <c r="J154" t="s">
        <v>3263</v>
      </c>
      <c r="K154" t="s">
        <v>3390</v>
      </c>
      <c r="L154" t="s">
        <v>2626</v>
      </c>
      <c r="M154" s="1086">
        <v>125307.68</v>
      </c>
      <c r="N154" s="1086">
        <v>188695.31</v>
      </c>
      <c r="O154" s="1086">
        <v>18491.330000000002</v>
      </c>
      <c r="P154" s="1086">
        <v>66891.63</v>
      </c>
      <c r="Q154" s="1086">
        <v>0</v>
      </c>
      <c r="R154" s="1086">
        <v>0</v>
      </c>
      <c r="S154" s="1086">
        <v>20673.05</v>
      </c>
      <c r="T154" s="1086">
        <v>26806.27</v>
      </c>
      <c r="U154" s="1086">
        <v>202552.82</v>
      </c>
      <c r="V154" s="1086">
        <v>0</v>
      </c>
      <c r="W154" s="1086">
        <v>0</v>
      </c>
      <c r="X154" s="1086">
        <v>0</v>
      </c>
      <c r="Y154" s="1086">
        <v>-190636.29</v>
      </c>
      <c r="Z154" s="1086">
        <v>0</v>
      </c>
      <c r="AA154" s="1086">
        <v>6272.82</v>
      </c>
      <c r="AB154" s="1086">
        <v>0</v>
      </c>
      <c r="AC154" s="1086">
        <v>199934.02</v>
      </c>
      <c r="AD154" s="1086" t="s">
        <v>248</v>
      </c>
      <c r="AE154" s="1086" t="s">
        <v>3877</v>
      </c>
      <c r="AF154" s="1086">
        <f t="shared" si="9"/>
        <v>199934.02</v>
      </c>
      <c r="AG154" s="1086">
        <f t="shared" si="8"/>
        <v>0</v>
      </c>
      <c r="AQ154" s="1086">
        <v>0</v>
      </c>
      <c r="AR154" s="1086">
        <v>0</v>
      </c>
      <c r="AS154" s="1086">
        <v>199934.02</v>
      </c>
      <c r="AT154" s="1086">
        <f t="shared" si="10"/>
        <v>0</v>
      </c>
      <c r="AV154" s="1150">
        <f t="shared" si="11"/>
        <v>132560.30000000002</v>
      </c>
    </row>
    <row r="155" spans="1:48" x14ac:dyDescent="0.2">
      <c r="A155" s="19">
        <v>153</v>
      </c>
      <c r="B155" t="s">
        <v>1456</v>
      </c>
      <c r="C155" t="s">
        <v>1290</v>
      </c>
      <c r="D155" t="s">
        <v>1036</v>
      </c>
      <c r="E155" t="s">
        <v>2147</v>
      </c>
      <c r="F155" t="s">
        <v>2344</v>
      </c>
      <c r="G155" t="s">
        <v>1250</v>
      </c>
      <c r="H155" t="s">
        <v>3825</v>
      </c>
      <c r="I155" t="s">
        <v>3839</v>
      </c>
      <c r="J155" t="s">
        <v>3263</v>
      </c>
      <c r="K155" t="s">
        <v>3391</v>
      </c>
      <c r="L155" t="s">
        <v>2627</v>
      </c>
      <c r="M155" s="1086">
        <v>87920.44</v>
      </c>
      <c r="N155" s="1086">
        <v>85932.25</v>
      </c>
      <c r="O155" s="1086">
        <v>0</v>
      </c>
      <c r="P155" s="1086">
        <v>0</v>
      </c>
      <c r="Q155" s="1086">
        <v>0</v>
      </c>
      <c r="R155" s="1086">
        <v>0</v>
      </c>
      <c r="S155" s="1086">
        <v>36697.26</v>
      </c>
      <c r="T155" s="1086">
        <v>617.66999999999996</v>
      </c>
      <c r="U155" s="1086">
        <v>50495.42</v>
      </c>
      <c r="V155" s="1086">
        <v>0</v>
      </c>
      <c r="W155" s="1086">
        <v>0</v>
      </c>
      <c r="X155" s="1086">
        <v>0</v>
      </c>
      <c r="Y155" s="1086">
        <v>-266.5</v>
      </c>
      <c r="Z155" s="1086">
        <v>0</v>
      </c>
      <c r="AA155" s="1086">
        <v>3052.54</v>
      </c>
      <c r="AB155" s="1086">
        <v>0</v>
      </c>
      <c r="AC155" s="1086">
        <v>83256.3</v>
      </c>
      <c r="AD155" s="1086" t="s">
        <v>248</v>
      </c>
      <c r="AE155" s="1086" t="s">
        <v>3877</v>
      </c>
      <c r="AF155" s="1086">
        <f t="shared" si="9"/>
        <v>83256.3</v>
      </c>
      <c r="AG155" s="1086">
        <f t="shared" si="8"/>
        <v>0</v>
      </c>
      <c r="AQ155" s="1086">
        <v>0</v>
      </c>
      <c r="AR155" s="1086">
        <v>0</v>
      </c>
      <c r="AS155" s="1086">
        <v>83256.3</v>
      </c>
      <c r="AT155" s="1086">
        <f t="shared" si="10"/>
        <v>0</v>
      </c>
      <c r="AV155" s="1150">
        <f t="shared" si="11"/>
        <v>90596.39</v>
      </c>
    </row>
    <row r="156" spans="1:48" x14ac:dyDescent="0.2">
      <c r="A156" s="19">
        <v>154</v>
      </c>
      <c r="B156" t="s">
        <v>1457</v>
      </c>
      <c r="C156" t="s">
        <v>1290</v>
      </c>
      <c r="D156" t="s">
        <v>1054</v>
      </c>
      <c r="E156" t="s">
        <v>2148</v>
      </c>
      <c r="F156" t="s">
        <v>2345</v>
      </c>
      <c r="G156" t="s">
        <v>1259</v>
      </c>
      <c r="H156" t="s">
        <v>3827</v>
      </c>
      <c r="I156" t="s">
        <v>3839</v>
      </c>
      <c r="J156" t="s">
        <v>3392</v>
      </c>
      <c r="K156" t="s">
        <v>3393</v>
      </c>
      <c r="L156" t="s">
        <v>2628</v>
      </c>
      <c r="M156" s="1086">
        <v>793601.86</v>
      </c>
      <c r="N156" s="1086">
        <v>183587.95</v>
      </c>
      <c r="O156" s="1086">
        <v>1040.17</v>
      </c>
      <c r="P156" s="1086">
        <v>59662.57</v>
      </c>
      <c r="Q156" s="1086">
        <v>0</v>
      </c>
      <c r="R156" s="1086">
        <v>148158.57</v>
      </c>
      <c r="S156" s="1086">
        <v>59583.199999999997</v>
      </c>
      <c r="T156" s="1086">
        <v>61898.04</v>
      </c>
      <c r="U156" s="1086">
        <v>625229.5</v>
      </c>
      <c r="V156" s="1086">
        <v>0</v>
      </c>
      <c r="W156" s="1086">
        <v>575.76</v>
      </c>
      <c r="X156" s="1086">
        <v>2699.97</v>
      </c>
      <c r="Y156" s="1086">
        <v>-775843.33</v>
      </c>
      <c r="Z156" s="1086">
        <v>0</v>
      </c>
      <c r="AA156" s="1086">
        <v>5579.42</v>
      </c>
      <c r="AB156" s="1086">
        <v>0</v>
      </c>
      <c r="AC156" s="1086">
        <v>790686.28</v>
      </c>
      <c r="AD156" s="1086" t="s">
        <v>248</v>
      </c>
      <c r="AE156" s="1086" t="s">
        <v>3877</v>
      </c>
      <c r="AF156" s="1086">
        <f t="shared" si="9"/>
        <v>790686.28</v>
      </c>
      <c r="AG156" s="1086">
        <f t="shared" si="8"/>
        <v>0</v>
      </c>
      <c r="AQ156" s="1086">
        <v>0</v>
      </c>
      <c r="AR156" s="1086">
        <v>0</v>
      </c>
      <c r="AS156" s="1086">
        <v>790686.28</v>
      </c>
      <c r="AT156" s="1086">
        <f t="shared" si="10"/>
        <v>0</v>
      </c>
      <c r="AV156" s="1150">
        <f t="shared" si="11"/>
        <v>187543.70000000004</v>
      </c>
    </row>
    <row r="157" spans="1:48" x14ac:dyDescent="0.2">
      <c r="A157" s="19">
        <v>155</v>
      </c>
      <c r="B157" t="s">
        <v>1458</v>
      </c>
      <c r="C157" t="s">
        <v>1290</v>
      </c>
      <c r="D157" t="s">
        <v>1054</v>
      </c>
      <c r="E157" t="s">
        <v>2148</v>
      </c>
      <c r="F157" t="s">
        <v>2345</v>
      </c>
      <c r="G157" t="s">
        <v>1259</v>
      </c>
      <c r="H157" t="s">
        <v>3827</v>
      </c>
      <c r="I157" t="s">
        <v>3839</v>
      </c>
      <c r="J157" t="s">
        <v>3392</v>
      </c>
      <c r="K157" t="s">
        <v>3394</v>
      </c>
      <c r="L157" t="s">
        <v>2629</v>
      </c>
      <c r="M157" s="1086">
        <v>28955.21</v>
      </c>
      <c r="N157" s="1086">
        <v>0</v>
      </c>
      <c r="O157" s="1086">
        <v>0</v>
      </c>
      <c r="P157" s="1086">
        <v>0</v>
      </c>
      <c r="Q157" s="1086">
        <v>0</v>
      </c>
      <c r="R157" s="1086">
        <v>0</v>
      </c>
      <c r="S157" s="1086">
        <v>0</v>
      </c>
      <c r="T157" s="1086">
        <v>0</v>
      </c>
      <c r="U157" s="1086">
        <v>708571.11</v>
      </c>
      <c r="V157" s="1086">
        <v>0</v>
      </c>
      <c r="W157" s="1086">
        <v>0</v>
      </c>
      <c r="X157" s="1086">
        <v>0</v>
      </c>
      <c r="Y157" s="1086">
        <v>-707732.77</v>
      </c>
      <c r="Z157" s="1086">
        <v>0</v>
      </c>
      <c r="AA157" s="1086">
        <v>0</v>
      </c>
      <c r="AB157" s="1086">
        <v>0</v>
      </c>
      <c r="AC157" s="1086">
        <v>28116.87</v>
      </c>
      <c r="AD157" s="1086" t="s">
        <v>248</v>
      </c>
      <c r="AE157" s="1086" t="s">
        <v>3877</v>
      </c>
      <c r="AF157" s="1086">
        <f t="shared" si="9"/>
        <v>28116.870000000032</v>
      </c>
      <c r="AG157" s="1086">
        <f t="shared" si="8"/>
        <v>-3.2741809263825417E-11</v>
      </c>
      <c r="AQ157" s="1086">
        <v>0</v>
      </c>
      <c r="AR157" s="1086">
        <v>0</v>
      </c>
      <c r="AS157" s="1086">
        <v>28116.87</v>
      </c>
      <c r="AT157" s="1086">
        <f t="shared" si="10"/>
        <v>0</v>
      </c>
      <c r="AV157" s="1150">
        <f t="shared" si="11"/>
        <v>838.3399999999674</v>
      </c>
    </row>
    <row r="158" spans="1:48" x14ac:dyDescent="0.2">
      <c r="A158" s="19">
        <v>156</v>
      </c>
      <c r="B158" t="s">
        <v>1459</v>
      </c>
      <c r="C158" t="s">
        <v>1290</v>
      </c>
      <c r="D158" t="s">
        <v>1049</v>
      </c>
      <c r="E158" t="s">
        <v>2149</v>
      </c>
      <c r="F158" t="s">
        <v>2346</v>
      </c>
      <c r="G158" t="s">
        <v>1250</v>
      </c>
      <c r="H158" t="s">
        <v>3825</v>
      </c>
      <c r="I158" t="s">
        <v>3839</v>
      </c>
      <c r="J158" t="s">
        <v>3270</v>
      </c>
      <c r="K158" t="s">
        <v>3395</v>
      </c>
      <c r="L158" t="s">
        <v>2630</v>
      </c>
      <c r="M158" s="1086">
        <v>69090.899999999994</v>
      </c>
      <c r="N158" s="1086">
        <v>0</v>
      </c>
      <c r="O158" s="1086">
        <v>66100</v>
      </c>
      <c r="P158" s="1086">
        <v>0</v>
      </c>
      <c r="Q158" s="1086">
        <v>0</v>
      </c>
      <c r="R158" s="1086">
        <v>0</v>
      </c>
      <c r="S158" s="1086">
        <v>0</v>
      </c>
      <c r="T158" s="1086">
        <v>0</v>
      </c>
      <c r="U158" s="1086">
        <v>11077.8</v>
      </c>
      <c r="V158" s="1086">
        <v>0</v>
      </c>
      <c r="W158" s="1086">
        <v>0</v>
      </c>
      <c r="X158" s="1086">
        <v>59348.55</v>
      </c>
      <c r="Y158" s="1086">
        <v>0</v>
      </c>
      <c r="Z158" s="1086">
        <v>0</v>
      </c>
      <c r="AA158" s="1086">
        <v>74</v>
      </c>
      <c r="AB158" s="1086">
        <v>0</v>
      </c>
      <c r="AC158" s="1086">
        <v>64690.55</v>
      </c>
      <c r="AD158" s="1086" t="s">
        <v>248</v>
      </c>
      <c r="AE158" s="1086" t="s">
        <v>3877</v>
      </c>
      <c r="AF158" s="1086">
        <f t="shared" si="9"/>
        <v>64690.549999999988</v>
      </c>
      <c r="AG158" s="1086">
        <f t="shared" si="8"/>
        <v>0</v>
      </c>
      <c r="AQ158" s="1086">
        <v>0</v>
      </c>
      <c r="AR158" s="1086">
        <v>0</v>
      </c>
      <c r="AS158" s="1086">
        <v>64690.55</v>
      </c>
      <c r="AT158" s="1086">
        <f t="shared" si="10"/>
        <v>0</v>
      </c>
      <c r="AV158" s="1150">
        <f t="shared" si="11"/>
        <v>70500.350000000006</v>
      </c>
    </row>
    <row r="159" spans="1:48" x14ac:dyDescent="0.2">
      <c r="A159" s="19">
        <v>157</v>
      </c>
      <c r="B159" t="s">
        <v>1460</v>
      </c>
      <c r="C159" t="s">
        <v>1290</v>
      </c>
      <c r="D159" t="s">
        <v>1049</v>
      </c>
      <c r="E159" t="s">
        <v>2149</v>
      </c>
      <c r="F159" t="s">
        <v>2346</v>
      </c>
      <c r="G159" t="s">
        <v>1250</v>
      </c>
      <c r="H159" t="s">
        <v>3825</v>
      </c>
      <c r="I159">
        <v>2221</v>
      </c>
      <c r="J159" t="s">
        <v>3270</v>
      </c>
      <c r="K159" t="s">
        <v>3396</v>
      </c>
      <c r="L159" t="s">
        <v>2631</v>
      </c>
      <c r="M159" s="1086">
        <v>8026.69</v>
      </c>
      <c r="N159" s="1086">
        <v>100</v>
      </c>
      <c r="O159" s="1086">
        <v>45524.43</v>
      </c>
      <c r="P159" s="1086">
        <v>1200</v>
      </c>
      <c r="Q159" s="1086">
        <v>0</v>
      </c>
      <c r="R159" s="1086">
        <v>0</v>
      </c>
      <c r="S159" s="1086">
        <v>0</v>
      </c>
      <c r="T159" s="1086">
        <v>367.08</v>
      </c>
      <c r="U159" s="1086">
        <v>5773.64</v>
      </c>
      <c r="V159" s="1086">
        <v>0</v>
      </c>
      <c r="W159" s="1086">
        <v>3635.65</v>
      </c>
      <c r="X159" s="1086">
        <v>7798.81</v>
      </c>
      <c r="Y159" s="1086">
        <v>0</v>
      </c>
      <c r="Z159" s="1086">
        <v>0</v>
      </c>
      <c r="AA159" s="1086">
        <v>703.5</v>
      </c>
      <c r="AB159" s="1086">
        <v>0</v>
      </c>
      <c r="AC159" s="1086">
        <v>34172.44</v>
      </c>
      <c r="AD159" s="1086" t="s">
        <v>248</v>
      </c>
      <c r="AE159" s="1086" t="s">
        <v>3877</v>
      </c>
      <c r="AF159" s="1086">
        <f t="shared" si="9"/>
        <v>34172.44</v>
      </c>
      <c r="AG159" s="1086">
        <f t="shared" si="8"/>
        <v>0</v>
      </c>
      <c r="AQ159" s="1086">
        <v>0</v>
      </c>
      <c r="AR159" s="1086">
        <v>0</v>
      </c>
      <c r="AS159" s="1086">
        <v>34172.44</v>
      </c>
      <c r="AT159" s="1086">
        <f t="shared" si="10"/>
        <v>0</v>
      </c>
      <c r="AV159" s="1150">
        <f t="shared" si="11"/>
        <v>19478.68</v>
      </c>
    </row>
    <row r="160" spans="1:48" x14ac:dyDescent="0.2">
      <c r="A160" s="19">
        <v>158</v>
      </c>
      <c r="B160" t="s">
        <v>1461</v>
      </c>
      <c r="C160" t="s">
        <v>1290</v>
      </c>
      <c r="D160" t="s">
        <v>1056</v>
      </c>
      <c r="E160" t="s">
        <v>2150</v>
      </c>
      <c r="F160" t="s">
        <v>2347</v>
      </c>
      <c r="G160" t="s">
        <v>1256</v>
      </c>
      <c r="H160" t="s">
        <v>3827</v>
      </c>
      <c r="I160">
        <v>0</v>
      </c>
      <c r="L160" t="s">
        <v>2632</v>
      </c>
      <c r="M160" s="1086">
        <v>95083.98</v>
      </c>
      <c r="N160" s="1086">
        <v>0</v>
      </c>
      <c r="O160" s="1086">
        <v>10.16</v>
      </c>
      <c r="P160" s="1086">
        <v>2000</v>
      </c>
      <c r="Q160" s="1086">
        <v>0</v>
      </c>
      <c r="R160" s="1086">
        <v>466.27</v>
      </c>
      <c r="S160" s="1086">
        <v>16761.89</v>
      </c>
      <c r="T160" s="1086">
        <v>1365.86</v>
      </c>
      <c r="U160" s="1086">
        <v>0</v>
      </c>
      <c r="V160" s="1086">
        <v>0</v>
      </c>
      <c r="W160" s="1086">
        <v>0</v>
      </c>
      <c r="X160" s="1086">
        <v>0</v>
      </c>
      <c r="Y160" s="1086">
        <v>0</v>
      </c>
      <c r="Z160" s="1086">
        <v>0</v>
      </c>
      <c r="AA160" s="1086">
        <v>74500.12</v>
      </c>
      <c r="AB160" s="1086">
        <v>0</v>
      </c>
      <c r="AC160" s="1086">
        <v>0</v>
      </c>
      <c r="AD160" s="1086" t="s">
        <v>248</v>
      </c>
      <c r="AE160" s="1086" t="s">
        <v>3877</v>
      </c>
      <c r="AF160" s="1086">
        <f t="shared" si="9"/>
        <v>0</v>
      </c>
      <c r="AG160" s="1086">
        <f t="shared" si="8"/>
        <v>0</v>
      </c>
      <c r="AQ160" s="1086">
        <v>0</v>
      </c>
      <c r="AR160" s="1086">
        <v>0</v>
      </c>
      <c r="AS160" s="1086">
        <v>0</v>
      </c>
      <c r="AT160" s="1086">
        <f t="shared" si="10"/>
        <v>0</v>
      </c>
      <c r="AV160" s="1150">
        <f t="shared" si="11"/>
        <v>95094.14</v>
      </c>
    </row>
    <row r="161" spans="1:48" x14ac:dyDescent="0.2">
      <c r="A161" s="19">
        <v>159</v>
      </c>
      <c r="B161" t="s">
        <v>1462</v>
      </c>
      <c r="C161" t="s">
        <v>1290</v>
      </c>
      <c r="D161" t="s">
        <v>1060</v>
      </c>
      <c r="E161" t="s">
        <v>2151</v>
      </c>
      <c r="F161" t="s">
        <v>2348</v>
      </c>
      <c r="G161" t="s">
        <v>1257</v>
      </c>
      <c r="H161" t="s">
        <v>3826</v>
      </c>
      <c r="I161" t="s">
        <v>3839</v>
      </c>
      <c r="J161" t="s">
        <v>3294</v>
      </c>
      <c r="K161" t="s">
        <v>3397</v>
      </c>
      <c r="L161" t="s">
        <v>2633</v>
      </c>
      <c r="M161" s="1086">
        <v>1474235.71</v>
      </c>
      <c r="N161" s="1086">
        <v>5583476.2000000002</v>
      </c>
      <c r="O161" s="1086">
        <v>140076.17000000001</v>
      </c>
      <c r="P161" s="1086">
        <v>779003.55</v>
      </c>
      <c r="Q161" s="1086">
        <v>56482.53</v>
      </c>
      <c r="R161" s="1086">
        <v>326924.71999999997</v>
      </c>
      <c r="S161" s="1086">
        <v>642253.42000000004</v>
      </c>
      <c r="T161" s="1086">
        <v>441668.74</v>
      </c>
      <c r="U161" s="1086">
        <v>517729.76</v>
      </c>
      <c r="V161" s="1086">
        <v>0</v>
      </c>
      <c r="W161" s="1086">
        <v>10275.17</v>
      </c>
      <c r="X161" s="1086">
        <v>23655.55</v>
      </c>
      <c r="Y161" s="1086">
        <v>-13231.8</v>
      </c>
      <c r="Z161" s="1086">
        <v>0</v>
      </c>
      <c r="AA161" s="1086">
        <v>393015.13</v>
      </c>
      <c r="AB161" s="1086">
        <v>2448350</v>
      </c>
      <c r="AC161" s="1086">
        <v>1571661.31</v>
      </c>
      <c r="AD161" s="1086" t="s">
        <v>248</v>
      </c>
      <c r="AE161" s="1086" t="s">
        <v>3877</v>
      </c>
      <c r="AF161" s="1086">
        <f t="shared" si="9"/>
        <v>1571661.3100000005</v>
      </c>
      <c r="AG161" s="1086">
        <f t="shared" si="8"/>
        <v>0</v>
      </c>
      <c r="AQ161" s="1086">
        <v>0</v>
      </c>
      <c r="AR161" s="1086">
        <v>0</v>
      </c>
      <c r="AS161" s="1086">
        <v>1571661.31</v>
      </c>
      <c r="AT161" s="1086">
        <f t="shared" si="10"/>
        <v>0</v>
      </c>
      <c r="AV161" s="1150">
        <f t="shared" si="11"/>
        <v>5626126.7699999996</v>
      </c>
    </row>
    <row r="162" spans="1:48" x14ac:dyDescent="0.2">
      <c r="A162" s="19">
        <v>160</v>
      </c>
      <c r="B162" t="s">
        <v>1463</v>
      </c>
      <c r="C162" t="s">
        <v>1290</v>
      </c>
      <c r="D162" t="s">
        <v>1046</v>
      </c>
      <c r="E162" t="s">
        <v>2152</v>
      </c>
      <c r="F162" t="s">
        <v>2349</v>
      </c>
      <c r="G162" t="s">
        <v>1250</v>
      </c>
      <c r="H162" t="s">
        <v>3825</v>
      </c>
      <c r="I162" t="s">
        <v>3839</v>
      </c>
      <c r="J162" t="s">
        <v>3398</v>
      </c>
      <c r="K162" t="s">
        <v>3399</v>
      </c>
      <c r="L162" t="s">
        <v>2634</v>
      </c>
      <c r="M162" s="1086">
        <v>68987.91</v>
      </c>
      <c r="N162" s="1086">
        <v>1100</v>
      </c>
      <c r="O162" s="1086">
        <v>194544.15</v>
      </c>
      <c r="P162" s="1086">
        <v>0</v>
      </c>
      <c r="Q162" s="1086">
        <v>0</v>
      </c>
      <c r="R162" s="1086">
        <v>0</v>
      </c>
      <c r="S162" s="1086">
        <v>0</v>
      </c>
      <c r="T162" s="1086">
        <v>0</v>
      </c>
      <c r="U162" s="1086">
        <v>32484.34</v>
      </c>
      <c r="V162" s="1086">
        <v>0</v>
      </c>
      <c r="W162" s="1086">
        <v>0</v>
      </c>
      <c r="X162" s="1086">
        <v>168911.03</v>
      </c>
      <c r="Y162" s="1086">
        <v>0</v>
      </c>
      <c r="Z162" s="1086">
        <v>0</v>
      </c>
      <c r="AA162" s="1086">
        <v>713.5</v>
      </c>
      <c r="AB162" s="1086">
        <v>0</v>
      </c>
      <c r="AC162" s="1086">
        <v>62523.19</v>
      </c>
      <c r="AD162" s="1086" t="s">
        <v>248</v>
      </c>
      <c r="AE162" s="1086" t="s">
        <v>3877</v>
      </c>
      <c r="AF162" s="1086">
        <f t="shared" si="9"/>
        <v>62523.19</v>
      </c>
      <c r="AG162" s="1086">
        <f t="shared" si="8"/>
        <v>0</v>
      </c>
      <c r="AQ162" s="1086">
        <v>0</v>
      </c>
      <c r="AR162" s="1086">
        <v>0</v>
      </c>
      <c r="AS162" s="1086">
        <v>62523.19</v>
      </c>
      <c r="AT162" s="1086">
        <f t="shared" si="10"/>
        <v>0</v>
      </c>
      <c r="AV162" s="1150">
        <f t="shared" si="11"/>
        <v>202108.87</v>
      </c>
    </row>
    <row r="163" spans="1:48" x14ac:dyDescent="0.2">
      <c r="A163" s="19">
        <v>161</v>
      </c>
      <c r="B163" t="s">
        <v>1464</v>
      </c>
      <c r="C163" t="s">
        <v>1290</v>
      </c>
      <c r="D163" t="s">
        <v>1038</v>
      </c>
      <c r="E163" t="s">
        <v>2153</v>
      </c>
      <c r="F163" t="s">
        <v>2350</v>
      </c>
      <c r="G163" t="s">
        <v>1250</v>
      </c>
      <c r="H163" t="s">
        <v>3824</v>
      </c>
      <c r="I163" t="s">
        <v>3839</v>
      </c>
      <c r="J163" t="s">
        <v>3321</v>
      </c>
      <c r="K163" t="s">
        <v>3400</v>
      </c>
      <c r="L163" t="s">
        <v>2635</v>
      </c>
      <c r="M163" s="1086">
        <v>158007.89000000001</v>
      </c>
      <c r="N163" s="1086">
        <v>20075</v>
      </c>
      <c r="O163" s="1086">
        <v>0</v>
      </c>
      <c r="P163" s="1086">
        <v>0</v>
      </c>
      <c r="Q163" s="1086">
        <v>0</v>
      </c>
      <c r="R163" s="1086">
        <v>0</v>
      </c>
      <c r="S163" s="1086">
        <v>0</v>
      </c>
      <c r="T163" s="1086">
        <v>0</v>
      </c>
      <c r="U163" s="1086">
        <v>9800.0300000000007</v>
      </c>
      <c r="V163" s="1086">
        <v>0</v>
      </c>
      <c r="W163" s="1086">
        <v>0</v>
      </c>
      <c r="X163" s="1086">
        <v>0</v>
      </c>
      <c r="Y163" s="1086">
        <v>-32035</v>
      </c>
      <c r="Z163" s="1086">
        <v>0</v>
      </c>
      <c r="AA163" s="1086">
        <v>25701.86</v>
      </c>
      <c r="AB163" s="1086">
        <v>0</v>
      </c>
      <c r="AC163" s="1086">
        <v>174616</v>
      </c>
      <c r="AD163" s="1086" t="s">
        <v>248</v>
      </c>
      <c r="AE163" s="1086" t="s">
        <v>3877</v>
      </c>
      <c r="AF163" s="1086">
        <f t="shared" si="9"/>
        <v>174616</v>
      </c>
      <c r="AG163" s="1086">
        <f t="shared" si="8"/>
        <v>0</v>
      </c>
      <c r="AQ163" s="1086">
        <v>0</v>
      </c>
      <c r="AR163" s="1086">
        <v>0</v>
      </c>
      <c r="AS163" s="1086">
        <v>174616</v>
      </c>
      <c r="AT163" s="1086">
        <f t="shared" si="10"/>
        <v>0</v>
      </c>
      <c r="AV163" s="1150">
        <f t="shared" si="11"/>
        <v>3466.8899999999994</v>
      </c>
    </row>
    <row r="164" spans="1:48" x14ac:dyDescent="0.2">
      <c r="A164" s="19">
        <v>162</v>
      </c>
      <c r="B164" t="s">
        <v>1465</v>
      </c>
      <c r="C164" t="s">
        <v>1290</v>
      </c>
      <c r="D164" t="s">
        <v>1055</v>
      </c>
      <c r="E164" t="s">
        <v>2154</v>
      </c>
      <c r="F164" t="s">
        <v>2351</v>
      </c>
      <c r="G164" t="s">
        <v>3832</v>
      </c>
      <c r="H164" t="s">
        <v>3825</v>
      </c>
      <c r="I164" t="s">
        <v>3839</v>
      </c>
      <c r="J164" t="s">
        <v>3401</v>
      </c>
      <c r="K164" t="s">
        <v>3402</v>
      </c>
      <c r="L164" t="s">
        <v>2636</v>
      </c>
      <c r="M164" s="1086">
        <v>121971.29</v>
      </c>
      <c r="N164" s="1086">
        <v>0</v>
      </c>
      <c r="O164" s="1086">
        <v>750</v>
      </c>
      <c r="P164" s="1086">
        <v>0</v>
      </c>
      <c r="Q164" s="1086">
        <v>0</v>
      </c>
      <c r="R164" s="1086">
        <v>0</v>
      </c>
      <c r="S164" s="1086">
        <v>0</v>
      </c>
      <c r="T164" s="1086">
        <v>0</v>
      </c>
      <c r="U164" s="1086">
        <v>38769.22</v>
      </c>
      <c r="V164" s="1086">
        <v>0</v>
      </c>
      <c r="W164" s="1086">
        <v>0</v>
      </c>
      <c r="X164" s="1086">
        <v>0</v>
      </c>
      <c r="Y164" s="1086">
        <v>0</v>
      </c>
      <c r="Z164" s="1086">
        <v>0</v>
      </c>
      <c r="AA164" s="1086">
        <v>0</v>
      </c>
      <c r="AB164" s="1086">
        <v>0</v>
      </c>
      <c r="AC164" s="1086">
        <v>83952.07</v>
      </c>
      <c r="AD164" s="1103" t="s">
        <v>1253</v>
      </c>
      <c r="AE164" s="1086" t="s">
        <v>3881</v>
      </c>
      <c r="AF164" s="1086">
        <f t="shared" si="9"/>
        <v>83952.069999999992</v>
      </c>
      <c r="AG164" s="1086">
        <f t="shared" si="8"/>
        <v>0</v>
      </c>
      <c r="AQ164" s="1086">
        <v>0</v>
      </c>
      <c r="AR164" s="1086">
        <v>0</v>
      </c>
      <c r="AS164" s="1086">
        <v>83952.07</v>
      </c>
      <c r="AT164" s="1086">
        <f t="shared" si="10"/>
        <v>0</v>
      </c>
      <c r="AV164" s="1150">
        <f t="shared" si="11"/>
        <v>38769.22</v>
      </c>
    </row>
    <row r="165" spans="1:48" x14ac:dyDescent="0.2">
      <c r="A165" s="19">
        <v>163</v>
      </c>
      <c r="B165" t="s">
        <v>1466</v>
      </c>
      <c r="C165" t="s">
        <v>1290</v>
      </c>
      <c r="D165" t="s">
        <v>1055</v>
      </c>
      <c r="E165" t="s">
        <v>2154</v>
      </c>
      <c r="F165" t="s">
        <v>2351</v>
      </c>
      <c r="G165" t="s">
        <v>3832</v>
      </c>
      <c r="H165" t="s">
        <v>3824</v>
      </c>
      <c r="I165">
        <v>0</v>
      </c>
      <c r="L165" t="s">
        <v>2637</v>
      </c>
      <c r="M165" s="1086">
        <v>100770.21</v>
      </c>
      <c r="N165" s="1086">
        <v>0</v>
      </c>
      <c r="O165" s="1086">
        <v>0</v>
      </c>
      <c r="P165" s="1086">
        <v>0</v>
      </c>
      <c r="Q165" s="1086">
        <v>0</v>
      </c>
      <c r="R165" s="1086">
        <v>0</v>
      </c>
      <c r="S165" s="1086">
        <v>0</v>
      </c>
      <c r="T165" s="1086">
        <v>0</v>
      </c>
      <c r="U165" s="1086">
        <v>2977.2</v>
      </c>
      <c r="V165" s="1086">
        <v>0</v>
      </c>
      <c r="W165" s="1086">
        <v>0</v>
      </c>
      <c r="X165" s="1086">
        <v>0</v>
      </c>
      <c r="Y165" s="1086">
        <v>0</v>
      </c>
      <c r="Z165" s="1086">
        <v>0</v>
      </c>
      <c r="AA165" s="1086">
        <v>97793.01</v>
      </c>
      <c r="AB165" s="1086">
        <v>0</v>
      </c>
      <c r="AC165" s="1086">
        <v>0</v>
      </c>
      <c r="AD165" s="1103" t="s">
        <v>1253</v>
      </c>
      <c r="AE165" s="1086" t="s">
        <v>3881</v>
      </c>
      <c r="AF165" s="1086">
        <f t="shared" si="9"/>
        <v>1.4551915228366852E-11</v>
      </c>
      <c r="AG165" s="1086">
        <f t="shared" si="8"/>
        <v>-1.4551915228366852E-11</v>
      </c>
      <c r="AQ165" s="1086">
        <v>0</v>
      </c>
      <c r="AR165" s="1086">
        <v>0</v>
      </c>
      <c r="AS165" s="1086">
        <v>0</v>
      </c>
      <c r="AT165" s="1086">
        <f t="shared" si="10"/>
        <v>0</v>
      </c>
      <c r="AV165" s="1150">
        <f t="shared" si="11"/>
        <v>100770.20999999999</v>
      </c>
    </row>
    <row r="166" spans="1:48" x14ac:dyDescent="0.2">
      <c r="A166" s="19">
        <v>164</v>
      </c>
      <c r="B166" t="s">
        <v>1467</v>
      </c>
      <c r="C166" t="s">
        <v>1290</v>
      </c>
      <c r="D166" t="s">
        <v>1055</v>
      </c>
      <c r="E166" t="s">
        <v>2154</v>
      </c>
      <c r="F166" t="s">
        <v>2351</v>
      </c>
      <c r="G166" t="s">
        <v>3832</v>
      </c>
      <c r="H166" t="s">
        <v>3825</v>
      </c>
      <c r="I166" t="s">
        <v>3839</v>
      </c>
      <c r="J166" t="s">
        <v>3401</v>
      </c>
      <c r="K166" t="s">
        <v>3403</v>
      </c>
      <c r="L166" t="s">
        <v>2638</v>
      </c>
      <c r="M166" s="1086">
        <v>3289000.55</v>
      </c>
      <c r="N166" s="1086">
        <v>28194.720000000001</v>
      </c>
      <c r="O166" s="1086">
        <v>98353.01</v>
      </c>
      <c r="P166" s="1086">
        <v>150156.39000000001</v>
      </c>
      <c r="Q166" s="1086">
        <v>0</v>
      </c>
      <c r="R166" s="1086">
        <v>2891.37</v>
      </c>
      <c r="S166" s="1086">
        <v>0</v>
      </c>
      <c r="T166" s="1086">
        <v>21657.89</v>
      </c>
      <c r="U166" s="1086">
        <v>1206622.78</v>
      </c>
      <c r="V166" s="1086">
        <v>0</v>
      </c>
      <c r="W166" s="1086">
        <v>5255.11</v>
      </c>
      <c r="X166" s="1086">
        <v>3457.9</v>
      </c>
      <c r="Y166" s="1086">
        <v>0</v>
      </c>
      <c r="Z166" s="1086">
        <v>0</v>
      </c>
      <c r="AA166" s="1086">
        <v>503000</v>
      </c>
      <c r="AB166" s="1086">
        <v>0</v>
      </c>
      <c r="AC166" s="1086">
        <v>1522506.84</v>
      </c>
      <c r="AD166" s="1103" t="s">
        <v>1253</v>
      </c>
      <c r="AE166" s="1086" t="s">
        <v>3881</v>
      </c>
      <c r="AF166" s="1086">
        <f t="shared" si="9"/>
        <v>1522506.8399999996</v>
      </c>
      <c r="AG166" s="1086">
        <f t="shared" si="8"/>
        <v>0</v>
      </c>
      <c r="AQ166" s="1086">
        <v>0</v>
      </c>
      <c r="AR166" s="1086">
        <v>0</v>
      </c>
      <c r="AS166" s="1086">
        <v>1522506.84</v>
      </c>
      <c r="AT166" s="1086">
        <f t="shared" si="10"/>
        <v>0</v>
      </c>
      <c r="AV166" s="1150">
        <f t="shared" si="11"/>
        <v>1893041.4400000002</v>
      </c>
    </row>
    <row r="167" spans="1:48" x14ac:dyDescent="0.2">
      <c r="A167" s="19">
        <v>165</v>
      </c>
      <c r="B167" t="s">
        <v>1468</v>
      </c>
      <c r="C167" t="s">
        <v>1290</v>
      </c>
      <c r="D167" t="s">
        <v>1055</v>
      </c>
      <c r="E167" t="s">
        <v>2154</v>
      </c>
      <c r="F167" t="s">
        <v>2351</v>
      </c>
      <c r="G167" t="s">
        <v>3832</v>
      </c>
      <c r="H167" t="s">
        <v>3825</v>
      </c>
      <c r="I167">
        <v>2221</v>
      </c>
      <c r="J167" t="s">
        <v>3401</v>
      </c>
      <c r="K167" t="s">
        <v>3404</v>
      </c>
      <c r="L167" t="s">
        <v>2639</v>
      </c>
      <c r="M167" s="1086">
        <v>-194460.67</v>
      </c>
      <c r="N167" s="1086">
        <v>3683343.51</v>
      </c>
      <c r="O167" s="1086">
        <v>249044.95</v>
      </c>
      <c r="P167" s="1086">
        <v>421998.74</v>
      </c>
      <c r="Q167" s="1086">
        <v>0</v>
      </c>
      <c r="R167" s="1086">
        <v>32186.07</v>
      </c>
      <c r="S167" s="1086">
        <v>0</v>
      </c>
      <c r="T167" s="1086">
        <v>95753.82</v>
      </c>
      <c r="U167" s="1086">
        <v>4296276.6500000004</v>
      </c>
      <c r="V167" s="1086">
        <v>0</v>
      </c>
      <c r="W167" s="1086">
        <v>0</v>
      </c>
      <c r="X167" s="1086">
        <v>0</v>
      </c>
      <c r="Y167" s="1086">
        <v>0</v>
      </c>
      <c r="Z167" s="1086">
        <v>0</v>
      </c>
      <c r="AA167" s="1086">
        <v>0</v>
      </c>
      <c r="AB167" s="1086">
        <v>0</v>
      </c>
      <c r="AC167" s="1086">
        <v>-1108287.49</v>
      </c>
      <c r="AD167" s="1103" t="s">
        <v>1253</v>
      </c>
      <c r="AE167" s="1086" t="s">
        <v>3881</v>
      </c>
      <c r="AF167" s="1086">
        <f t="shared" si="9"/>
        <v>-1108287.4900000002</v>
      </c>
      <c r="AG167" s="1086">
        <f t="shared" si="8"/>
        <v>0</v>
      </c>
      <c r="AQ167" s="1086">
        <v>0</v>
      </c>
      <c r="AR167" s="1086">
        <v>0</v>
      </c>
      <c r="AS167" s="1086">
        <v>-1108287.49</v>
      </c>
      <c r="AT167" s="1086">
        <f t="shared" si="10"/>
        <v>0</v>
      </c>
      <c r="AV167" s="1150">
        <f t="shared" si="11"/>
        <v>4846215.28</v>
      </c>
    </row>
    <row r="168" spans="1:48" x14ac:dyDescent="0.2">
      <c r="A168" s="19">
        <v>166</v>
      </c>
      <c r="B168" t="s">
        <v>1469</v>
      </c>
      <c r="C168" t="s">
        <v>1290</v>
      </c>
      <c r="D168" t="s">
        <v>1055</v>
      </c>
      <c r="E168" t="s">
        <v>2154</v>
      </c>
      <c r="F168" t="s">
        <v>2351</v>
      </c>
      <c r="G168" t="s">
        <v>3832</v>
      </c>
      <c r="H168" t="s">
        <v>3825</v>
      </c>
      <c r="I168" t="s">
        <v>3251</v>
      </c>
      <c r="J168" t="s">
        <v>3251</v>
      </c>
      <c r="K168" t="s">
        <v>3251</v>
      </c>
      <c r="L168" t="s">
        <v>2640</v>
      </c>
      <c r="M168" s="1086">
        <v>2210121.2000000002</v>
      </c>
      <c r="N168" s="1086">
        <v>3448809.87</v>
      </c>
      <c r="O168" s="1086">
        <v>0</v>
      </c>
      <c r="P168" s="1086">
        <v>1330283.28</v>
      </c>
      <c r="Q168" s="1086">
        <v>0</v>
      </c>
      <c r="R168" s="1086">
        <v>0</v>
      </c>
      <c r="S168" s="1086">
        <v>0</v>
      </c>
      <c r="T168" s="1086">
        <v>124534.05</v>
      </c>
      <c r="U168" s="1086">
        <v>62513.75</v>
      </c>
      <c r="V168" s="1086">
        <v>0</v>
      </c>
      <c r="W168" s="1086">
        <v>19412.240000000002</v>
      </c>
      <c r="X168" s="1086">
        <v>2029.33</v>
      </c>
      <c r="Y168" s="1086">
        <v>0</v>
      </c>
      <c r="Z168" s="1086">
        <v>0</v>
      </c>
      <c r="AA168" s="1086">
        <v>2692493.76</v>
      </c>
      <c r="AB168" s="1086">
        <v>0</v>
      </c>
      <c r="AC168" s="1086">
        <v>1427664.66</v>
      </c>
      <c r="AD168" s="1103" t="s">
        <v>1253</v>
      </c>
      <c r="AE168" s="1086" t="s">
        <v>3881</v>
      </c>
      <c r="AF168" s="1086">
        <f t="shared" si="9"/>
        <v>1427664.6600000001</v>
      </c>
      <c r="AG168" s="1086">
        <f t="shared" si="8"/>
        <v>0</v>
      </c>
      <c r="AQ168" s="1086">
        <v>0</v>
      </c>
      <c r="AR168" s="1086">
        <v>0</v>
      </c>
      <c r="AS168" s="1086">
        <v>1427664.66</v>
      </c>
      <c r="AT168" s="1086">
        <f t="shared" si="10"/>
        <v>0</v>
      </c>
      <c r="AV168" s="1150">
        <f t="shared" si="11"/>
        <v>4231266.41</v>
      </c>
    </row>
    <row r="169" spans="1:48" x14ac:dyDescent="0.2">
      <c r="A169" s="19">
        <v>167</v>
      </c>
      <c r="B169" t="s">
        <v>1470</v>
      </c>
      <c r="C169" t="s">
        <v>1290</v>
      </c>
      <c r="D169" t="s">
        <v>1049</v>
      </c>
      <c r="E169" t="s">
        <v>2155</v>
      </c>
      <c r="F169" t="s">
        <v>2352</v>
      </c>
      <c r="G169" t="s">
        <v>1250</v>
      </c>
      <c r="H169" t="s">
        <v>3825</v>
      </c>
      <c r="I169" t="s">
        <v>3839</v>
      </c>
      <c r="J169" t="s">
        <v>3270</v>
      </c>
      <c r="K169" t="s">
        <v>3405</v>
      </c>
      <c r="L169" t="s">
        <v>2641</v>
      </c>
      <c r="M169" s="1086">
        <v>16934.36</v>
      </c>
      <c r="N169" s="1086">
        <v>391</v>
      </c>
      <c r="O169" s="1086">
        <v>43830.43</v>
      </c>
      <c r="P169" s="1086">
        <v>0</v>
      </c>
      <c r="Q169" s="1086">
        <v>1000</v>
      </c>
      <c r="R169" s="1086">
        <v>0</v>
      </c>
      <c r="S169" s="1086">
        <v>5093.8999999999996</v>
      </c>
      <c r="T169" s="1086">
        <v>535.95000000000005</v>
      </c>
      <c r="U169" s="1086">
        <v>22405.75</v>
      </c>
      <c r="V169" s="1086">
        <v>0</v>
      </c>
      <c r="W169" s="1086">
        <v>12086.38</v>
      </c>
      <c r="X169" s="1086">
        <v>1502.18</v>
      </c>
      <c r="Y169" s="1086">
        <v>0</v>
      </c>
      <c r="Z169" s="1086">
        <v>0</v>
      </c>
      <c r="AA169" s="1086">
        <v>1263.69</v>
      </c>
      <c r="AB169" s="1086">
        <v>0</v>
      </c>
      <c r="AC169" s="1086">
        <v>17267.939999999999</v>
      </c>
      <c r="AD169" s="1086" t="s">
        <v>248</v>
      </c>
      <c r="AE169" s="1086" t="s">
        <v>3877</v>
      </c>
      <c r="AF169" s="1086">
        <f t="shared" si="9"/>
        <v>17267.940000000002</v>
      </c>
      <c r="AG169" s="1086">
        <f t="shared" si="8"/>
        <v>0</v>
      </c>
      <c r="AQ169" s="1086">
        <v>0</v>
      </c>
      <c r="AR169" s="1086">
        <v>0</v>
      </c>
      <c r="AS169" s="1086">
        <v>17267.939999999999</v>
      </c>
      <c r="AT169" s="1086">
        <f t="shared" si="10"/>
        <v>0</v>
      </c>
      <c r="AV169" s="1150">
        <f t="shared" si="11"/>
        <v>43887.85</v>
      </c>
    </row>
    <row r="170" spans="1:48" x14ac:dyDescent="0.2">
      <c r="A170" s="19">
        <v>168</v>
      </c>
      <c r="B170" t="s">
        <v>1471</v>
      </c>
      <c r="C170" t="s">
        <v>1290</v>
      </c>
      <c r="D170" t="s">
        <v>1049</v>
      </c>
      <c r="E170" t="s">
        <v>2155</v>
      </c>
      <c r="F170" t="s">
        <v>2352</v>
      </c>
      <c r="G170" t="s">
        <v>1250</v>
      </c>
      <c r="H170" t="s">
        <v>3825</v>
      </c>
      <c r="I170" t="s">
        <v>3839</v>
      </c>
      <c r="J170" t="s">
        <v>3270</v>
      </c>
      <c r="K170" t="s">
        <v>3406</v>
      </c>
      <c r="L170" t="s">
        <v>2642</v>
      </c>
      <c r="M170" s="1086">
        <v>80114.039999999994</v>
      </c>
      <c r="N170" s="1086">
        <v>0</v>
      </c>
      <c r="O170" s="1086">
        <v>59884.44</v>
      </c>
      <c r="P170" s="1086">
        <v>0</v>
      </c>
      <c r="Q170" s="1086">
        <v>0</v>
      </c>
      <c r="R170" s="1086">
        <v>0</v>
      </c>
      <c r="S170" s="1086">
        <v>0</v>
      </c>
      <c r="T170" s="1086">
        <v>0</v>
      </c>
      <c r="U170" s="1086">
        <v>22235.78</v>
      </c>
      <c r="V170" s="1086">
        <v>0</v>
      </c>
      <c r="W170" s="1086">
        <v>205.87</v>
      </c>
      <c r="X170" s="1086">
        <v>48759.94</v>
      </c>
      <c r="Y170" s="1086">
        <v>-750</v>
      </c>
      <c r="Z170" s="1086">
        <v>0</v>
      </c>
      <c r="AA170" s="1086">
        <v>0</v>
      </c>
      <c r="AB170" s="1086">
        <v>0</v>
      </c>
      <c r="AC170" s="1086">
        <v>69546.89</v>
      </c>
      <c r="AD170" s="1086" t="s">
        <v>248</v>
      </c>
      <c r="AE170" s="1086" t="s">
        <v>3877</v>
      </c>
      <c r="AF170" s="1086">
        <f t="shared" si="9"/>
        <v>69546.889999999985</v>
      </c>
      <c r="AG170" s="1086">
        <f t="shared" si="8"/>
        <v>0</v>
      </c>
      <c r="AQ170" s="1086">
        <v>0</v>
      </c>
      <c r="AR170" s="1086">
        <v>0</v>
      </c>
      <c r="AS170" s="1086">
        <v>69546.89</v>
      </c>
      <c r="AT170" s="1086">
        <f t="shared" si="10"/>
        <v>0</v>
      </c>
      <c r="AV170" s="1150">
        <f t="shared" si="11"/>
        <v>70451.59</v>
      </c>
    </row>
    <row r="171" spans="1:48" x14ac:dyDescent="0.2">
      <c r="A171" s="19">
        <v>169</v>
      </c>
      <c r="B171" t="s">
        <v>1472</v>
      </c>
      <c r="C171" t="s">
        <v>1290</v>
      </c>
      <c r="D171" t="s">
        <v>1049</v>
      </c>
      <c r="E171" t="s">
        <v>2155</v>
      </c>
      <c r="F171" t="s">
        <v>2352</v>
      </c>
      <c r="G171" t="s">
        <v>1250</v>
      </c>
      <c r="H171" t="s">
        <v>3825</v>
      </c>
      <c r="I171" t="s">
        <v>3839</v>
      </c>
      <c r="J171" t="s">
        <v>3270</v>
      </c>
      <c r="K171" t="s">
        <v>3407</v>
      </c>
      <c r="L171" t="s">
        <v>2643</v>
      </c>
      <c r="M171" s="1086">
        <v>502156.28</v>
      </c>
      <c r="N171" s="1086">
        <v>102.42</v>
      </c>
      <c r="O171" s="1086">
        <v>140000</v>
      </c>
      <c r="P171" s="1086">
        <v>21334.87</v>
      </c>
      <c r="Q171" s="1086">
        <v>7067.5</v>
      </c>
      <c r="R171" s="1086">
        <v>0</v>
      </c>
      <c r="S171" s="1086">
        <v>2921.69</v>
      </c>
      <c r="T171" s="1086">
        <v>4976.76</v>
      </c>
      <c r="U171" s="1086">
        <v>154479.56</v>
      </c>
      <c r="V171" s="1086">
        <v>744.85</v>
      </c>
      <c r="W171" s="1086">
        <v>438.32</v>
      </c>
      <c r="X171" s="1086">
        <v>12184.03</v>
      </c>
      <c r="Y171" s="1086">
        <v>-7750</v>
      </c>
      <c r="Z171" s="1086">
        <v>0</v>
      </c>
      <c r="AA171" s="1086">
        <v>1797.43</v>
      </c>
      <c r="AB171" s="1086">
        <v>0</v>
      </c>
      <c r="AC171" s="1086">
        <v>444063.69</v>
      </c>
      <c r="AD171" s="1086" t="s">
        <v>248</v>
      </c>
      <c r="AE171" s="1086" t="s">
        <v>3877</v>
      </c>
      <c r="AF171" s="1086">
        <f t="shared" si="9"/>
        <v>444063.68999999994</v>
      </c>
      <c r="AG171" s="1086">
        <f t="shared" si="8"/>
        <v>0</v>
      </c>
      <c r="AQ171" s="1086">
        <v>0</v>
      </c>
      <c r="AR171" s="1086">
        <v>0</v>
      </c>
      <c r="AS171" s="1086">
        <v>444063.69</v>
      </c>
      <c r="AT171" s="1086">
        <f t="shared" si="10"/>
        <v>0</v>
      </c>
      <c r="AV171" s="1150">
        <f t="shared" si="11"/>
        <v>198195.01</v>
      </c>
    </row>
    <row r="172" spans="1:48" x14ac:dyDescent="0.2">
      <c r="A172" s="19">
        <v>170</v>
      </c>
      <c r="B172" t="s">
        <v>1473</v>
      </c>
      <c r="C172" t="s">
        <v>1290</v>
      </c>
      <c r="D172" t="s">
        <v>1058</v>
      </c>
      <c r="E172" t="s">
        <v>2156</v>
      </c>
      <c r="F172" t="s">
        <v>2353</v>
      </c>
      <c r="G172" t="s">
        <v>1250</v>
      </c>
      <c r="H172" t="s">
        <v>3824</v>
      </c>
      <c r="I172" t="s">
        <v>3839</v>
      </c>
      <c r="J172" t="s">
        <v>3313</v>
      </c>
      <c r="K172" t="s">
        <v>3408</v>
      </c>
      <c r="L172" t="s">
        <v>2644</v>
      </c>
      <c r="M172" s="1086">
        <v>45540.47</v>
      </c>
      <c r="N172" s="1086">
        <v>190000</v>
      </c>
      <c r="O172" s="1086">
        <v>0</v>
      </c>
      <c r="P172" s="1086">
        <v>145136.29</v>
      </c>
      <c r="Q172" s="1086">
        <v>19562.5</v>
      </c>
      <c r="R172" s="1086">
        <v>0</v>
      </c>
      <c r="S172" s="1086">
        <v>0</v>
      </c>
      <c r="T172" s="1086">
        <v>34210.269999999997</v>
      </c>
      <c r="U172" s="1086">
        <v>230.3</v>
      </c>
      <c r="V172" s="1086">
        <v>0</v>
      </c>
      <c r="W172" s="1086">
        <v>0</v>
      </c>
      <c r="X172" s="1086">
        <v>0</v>
      </c>
      <c r="Y172" s="1086">
        <v>0</v>
      </c>
      <c r="Z172" s="1086">
        <v>0</v>
      </c>
      <c r="AA172" s="1086">
        <v>0</v>
      </c>
      <c r="AB172" s="1086">
        <v>0</v>
      </c>
      <c r="AC172" s="1086">
        <v>36401.11</v>
      </c>
      <c r="AD172" s="1086" t="s">
        <v>248</v>
      </c>
      <c r="AE172" s="1086" t="s">
        <v>3877</v>
      </c>
      <c r="AF172" s="1086">
        <f t="shared" si="9"/>
        <v>36401.110000000015</v>
      </c>
      <c r="AG172" s="1086">
        <f t="shared" si="8"/>
        <v>0</v>
      </c>
      <c r="AQ172" s="1086">
        <v>0</v>
      </c>
      <c r="AR172" s="1086">
        <v>0</v>
      </c>
      <c r="AS172" s="1086">
        <v>36401.11</v>
      </c>
      <c r="AT172" s="1086">
        <f t="shared" si="10"/>
        <v>0</v>
      </c>
      <c r="AV172" s="1150">
        <f t="shared" si="11"/>
        <v>199139.36</v>
      </c>
    </row>
    <row r="173" spans="1:48" x14ac:dyDescent="0.2">
      <c r="A173" s="19">
        <v>171</v>
      </c>
      <c r="B173" t="s">
        <v>1474</v>
      </c>
      <c r="C173" t="s">
        <v>1290</v>
      </c>
      <c r="D173" t="s">
        <v>1058</v>
      </c>
      <c r="E173" t="s">
        <v>2156</v>
      </c>
      <c r="F173" t="s">
        <v>2353</v>
      </c>
      <c r="G173" t="s">
        <v>1250</v>
      </c>
      <c r="H173" t="s">
        <v>3825</v>
      </c>
      <c r="I173" t="s">
        <v>3839</v>
      </c>
      <c r="J173" t="s">
        <v>3313</v>
      </c>
      <c r="K173" t="s">
        <v>3409</v>
      </c>
      <c r="L173" t="s">
        <v>2645</v>
      </c>
      <c r="M173" s="1086">
        <v>85501.6</v>
      </c>
      <c r="N173" s="1086">
        <v>0</v>
      </c>
      <c r="O173" s="1086">
        <v>76376.179999999993</v>
      </c>
      <c r="P173" s="1086">
        <v>0</v>
      </c>
      <c r="Q173" s="1086">
        <v>0</v>
      </c>
      <c r="R173" s="1086">
        <v>0</v>
      </c>
      <c r="S173" s="1086">
        <v>1908.51</v>
      </c>
      <c r="T173" s="1086">
        <v>28.65</v>
      </c>
      <c r="U173" s="1086">
        <v>43560.65</v>
      </c>
      <c r="V173" s="1086">
        <v>0</v>
      </c>
      <c r="W173" s="1086">
        <v>6484.62</v>
      </c>
      <c r="X173" s="1086">
        <v>21252.11</v>
      </c>
      <c r="Y173" s="1086">
        <v>0</v>
      </c>
      <c r="Z173" s="1086">
        <v>0</v>
      </c>
      <c r="AA173" s="1086">
        <v>612.65</v>
      </c>
      <c r="AB173" s="1086">
        <v>0</v>
      </c>
      <c r="AC173" s="1086">
        <v>88030.59</v>
      </c>
      <c r="AD173" s="1086" t="s">
        <v>248</v>
      </c>
      <c r="AE173" s="1086" t="s">
        <v>3877</v>
      </c>
      <c r="AF173" s="1086">
        <f t="shared" si="9"/>
        <v>88030.59</v>
      </c>
      <c r="AG173" s="1086">
        <f t="shared" si="8"/>
        <v>0</v>
      </c>
      <c r="AQ173" s="1086">
        <v>0</v>
      </c>
      <c r="AR173" s="1086">
        <v>0</v>
      </c>
      <c r="AS173" s="1086">
        <v>88030.590000000011</v>
      </c>
      <c r="AT173" s="1086">
        <f t="shared" si="10"/>
        <v>0</v>
      </c>
      <c r="AV173" s="1150">
        <f t="shared" si="11"/>
        <v>73847.19</v>
      </c>
    </row>
    <row r="174" spans="1:48" x14ac:dyDescent="0.2">
      <c r="A174" s="19">
        <v>172</v>
      </c>
      <c r="B174" t="s">
        <v>1475</v>
      </c>
      <c r="C174" t="s">
        <v>1290</v>
      </c>
      <c r="D174" t="s">
        <v>1058</v>
      </c>
      <c r="E174" t="s">
        <v>2156</v>
      </c>
      <c r="F174" t="s">
        <v>2353</v>
      </c>
      <c r="G174" t="s">
        <v>1250</v>
      </c>
      <c r="H174" t="s">
        <v>3825</v>
      </c>
      <c r="I174" t="s">
        <v>3839</v>
      </c>
      <c r="J174" t="s">
        <v>3313</v>
      </c>
      <c r="K174" t="s">
        <v>3410</v>
      </c>
      <c r="L174" t="s">
        <v>2646</v>
      </c>
      <c r="M174" s="1086">
        <v>51373.5</v>
      </c>
      <c r="N174" s="1086">
        <v>0</v>
      </c>
      <c r="O174" s="1086">
        <v>6976.21</v>
      </c>
      <c r="P174" s="1086">
        <v>16341.96</v>
      </c>
      <c r="Q174" s="1086">
        <v>0</v>
      </c>
      <c r="R174" s="1086">
        <v>0</v>
      </c>
      <c r="S174" s="1086">
        <v>0</v>
      </c>
      <c r="T174" s="1086">
        <v>1891.16</v>
      </c>
      <c r="U174" s="1086">
        <v>239.57</v>
      </c>
      <c r="V174" s="1086">
        <v>0</v>
      </c>
      <c r="W174" s="1086">
        <v>89.69</v>
      </c>
      <c r="X174" s="1086">
        <v>198</v>
      </c>
      <c r="Y174" s="1086">
        <v>-44450</v>
      </c>
      <c r="Z174" s="1086">
        <v>0</v>
      </c>
      <c r="AA174" s="1086">
        <v>0</v>
      </c>
      <c r="AB174" s="1086">
        <v>0</v>
      </c>
      <c r="AC174" s="1086">
        <v>84039.33</v>
      </c>
      <c r="AD174" s="1086" t="s">
        <v>248</v>
      </c>
      <c r="AE174" s="1086" t="s">
        <v>3877</v>
      </c>
      <c r="AF174" s="1086">
        <f t="shared" si="9"/>
        <v>84039.33</v>
      </c>
      <c r="AG174" s="1086">
        <f t="shared" si="8"/>
        <v>0</v>
      </c>
      <c r="AQ174" s="1086">
        <v>0</v>
      </c>
      <c r="AR174" s="1086">
        <v>0</v>
      </c>
      <c r="AS174" s="1086">
        <v>84039.33</v>
      </c>
      <c r="AT174" s="1086">
        <f t="shared" si="10"/>
        <v>0</v>
      </c>
      <c r="AV174" s="1150">
        <f t="shared" si="11"/>
        <v>-25689.620000000003</v>
      </c>
    </row>
    <row r="175" spans="1:48" x14ac:dyDescent="0.2">
      <c r="A175" s="19">
        <v>173</v>
      </c>
      <c r="B175" t="s">
        <v>1476</v>
      </c>
      <c r="C175" t="s">
        <v>1290</v>
      </c>
      <c r="D175" t="s">
        <v>1049</v>
      </c>
      <c r="E175" t="s">
        <v>2157</v>
      </c>
      <c r="F175" t="s">
        <v>2354</v>
      </c>
      <c r="G175" t="s">
        <v>1250</v>
      </c>
      <c r="H175" t="s">
        <v>3825</v>
      </c>
      <c r="I175" t="s">
        <v>3839</v>
      </c>
      <c r="J175" t="s">
        <v>3270</v>
      </c>
      <c r="K175" t="s">
        <v>3411</v>
      </c>
      <c r="L175" t="s">
        <v>2647</v>
      </c>
      <c r="M175" s="1086">
        <v>78623.289999999994</v>
      </c>
      <c r="N175" s="1086">
        <v>0</v>
      </c>
      <c r="O175" s="1086">
        <v>65500</v>
      </c>
      <c r="P175" s="1086">
        <v>9000.0300000000007</v>
      </c>
      <c r="Q175" s="1086">
        <v>0</v>
      </c>
      <c r="R175" s="1086">
        <v>0</v>
      </c>
      <c r="S175" s="1086">
        <v>0</v>
      </c>
      <c r="T175" s="1086">
        <v>1763.53</v>
      </c>
      <c r="U175" s="1086">
        <v>37164.07</v>
      </c>
      <c r="V175" s="1086">
        <v>0</v>
      </c>
      <c r="W175" s="1086">
        <v>0</v>
      </c>
      <c r="X175" s="1086">
        <v>156.28</v>
      </c>
      <c r="Y175" s="1086">
        <v>0</v>
      </c>
      <c r="Z175" s="1086">
        <v>0</v>
      </c>
      <c r="AA175" s="1086">
        <v>0</v>
      </c>
      <c r="AB175" s="1086">
        <v>0</v>
      </c>
      <c r="AC175" s="1086">
        <v>96039.38</v>
      </c>
      <c r="AD175" s="1086" t="s">
        <v>248</v>
      </c>
      <c r="AE175" s="1086" t="s">
        <v>3877</v>
      </c>
      <c r="AF175" s="1086">
        <f t="shared" si="9"/>
        <v>96039.379999999976</v>
      </c>
      <c r="AG175" s="1086">
        <f t="shared" si="8"/>
        <v>0</v>
      </c>
      <c r="AQ175" s="1086">
        <v>0</v>
      </c>
      <c r="AR175" s="1086">
        <v>0</v>
      </c>
      <c r="AS175" s="1086">
        <v>96039.38</v>
      </c>
      <c r="AT175" s="1086">
        <f t="shared" si="10"/>
        <v>0</v>
      </c>
      <c r="AV175" s="1150">
        <f t="shared" si="11"/>
        <v>48083.91</v>
      </c>
    </row>
    <row r="176" spans="1:48" x14ac:dyDescent="0.2">
      <c r="A176" s="19">
        <v>174</v>
      </c>
      <c r="B176" t="s">
        <v>1477</v>
      </c>
      <c r="C176" t="s">
        <v>1290</v>
      </c>
      <c r="D176" t="s">
        <v>1049</v>
      </c>
      <c r="E176" t="s">
        <v>2157</v>
      </c>
      <c r="F176" t="s">
        <v>2354</v>
      </c>
      <c r="G176" t="s">
        <v>1250</v>
      </c>
      <c r="H176" t="s">
        <v>3825</v>
      </c>
      <c r="I176" t="s">
        <v>3839</v>
      </c>
      <c r="J176" t="s">
        <v>3270</v>
      </c>
      <c r="K176" t="s">
        <v>3412</v>
      </c>
      <c r="L176" t="s">
        <v>2648</v>
      </c>
      <c r="M176" s="1086">
        <v>47125.19</v>
      </c>
      <c r="N176" s="1086">
        <v>0</v>
      </c>
      <c r="O176" s="1086">
        <v>45608.63</v>
      </c>
      <c r="P176" s="1086">
        <v>0</v>
      </c>
      <c r="Q176" s="1086">
        <v>0</v>
      </c>
      <c r="R176" s="1086">
        <v>0</v>
      </c>
      <c r="S176" s="1086">
        <v>0</v>
      </c>
      <c r="T176" s="1086">
        <v>0</v>
      </c>
      <c r="U176" s="1086">
        <v>6001.18</v>
      </c>
      <c r="V176" s="1086">
        <v>0</v>
      </c>
      <c r="W176" s="1086">
        <v>0</v>
      </c>
      <c r="X176" s="1086">
        <v>36748.050000000003</v>
      </c>
      <c r="Y176" s="1086">
        <v>0</v>
      </c>
      <c r="Z176" s="1086">
        <v>0</v>
      </c>
      <c r="AA176" s="1086">
        <v>0</v>
      </c>
      <c r="AB176" s="1086">
        <v>0</v>
      </c>
      <c r="AC176" s="1086">
        <v>49984.59</v>
      </c>
      <c r="AD176" s="1086" t="s">
        <v>248</v>
      </c>
      <c r="AE176" s="1086" t="s">
        <v>3877</v>
      </c>
      <c r="AF176" s="1086">
        <f t="shared" si="9"/>
        <v>49984.590000000004</v>
      </c>
      <c r="AG176" s="1086">
        <f t="shared" si="8"/>
        <v>0</v>
      </c>
      <c r="AQ176" s="1086">
        <v>0</v>
      </c>
      <c r="AR176" s="1086">
        <v>0</v>
      </c>
      <c r="AS176" s="1086">
        <v>49984.59</v>
      </c>
      <c r="AT176" s="1086">
        <f t="shared" si="10"/>
        <v>0</v>
      </c>
      <c r="AV176" s="1150">
        <f t="shared" si="11"/>
        <v>42749.23</v>
      </c>
    </row>
    <row r="177" spans="1:48" x14ac:dyDescent="0.2">
      <c r="A177" s="19">
        <v>175</v>
      </c>
      <c r="B177" t="s">
        <v>1478</v>
      </c>
      <c r="C177" t="s">
        <v>1290</v>
      </c>
      <c r="D177" t="s">
        <v>1046</v>
      </c>
      <c r="E177" t="s">
        <v>2158</v>
      </c>
      <c r="F177" t="s">
        <v>2355</v>
      </c>
      <c r="G177" t="s">
        <v>1250</v>
      </c>
      <c r="H177" t="s">
        <v>3825</v>
      </c>
      <c r="I177">
        <v>0</v>
      </c>
      <c r="L177" t="s">
        <v>2649</v>
      </c>
      <c r="M177" s="1086">
        <v>25928.27</v>
      </c>
      <c r="N177" s="1086">
        <v>0</v>
      </c>
      <c r="O177" s="1086">
        <v>0</v>
      </c>
      <c r="P177" s="1086">
        <v>0</v>
      </c>
      <c r="Q177" s="1086">
        <v>0</v>
      </c>
      <c r="R177" s="1086">
        <v>0</v>
      </c>
      <c r="S177" s="1086">
        <v>0</v>
      </c>
      <c r="T177" s="1086">
        <v>0</v>
      </c>
      <c r="U177" s="1086">
        <v>25928.27</v>
      </c>
      <c r="V177" s="1086">
        <v>0</v>
      </c>
      <c r="W177" s="1086">
        <v>0</v>
      </c>
      <c r="X177" s="1086">
        <v>0</v>
      </c>
      <c r="Y177" s="1086">
        <v>0</v>
      </c>
      <c r="Z177" s="1086">
        <v>0</v>
      </c>
      <c r="AA177" s="1086">
        <v>0</v>
      </c>
      <c r="AB177" s="1086">
        <v>0</v>
      </c>
      <c r="AC177" s="1086">
        <v>0</v>
      </c>
      <c r="AD177" s="1086" t="s">
        <v>248</v>
      </c>
      <c r="AE177" s="1086" t="s">
        <v>3877</v>
      </c>
      <c r="AF177" s="1086">
        <f t="shared" si="9"/>
        <v>0</v>
      </c>
      <c r="AG177" s="1086">
        <f t="shared" si="8"/>
        <v>0</v>
      </c>
      <c r="AQ177" s="1086">
        <v>0</v>
      </c>
      <c r="AR177" s="1086">
        <v>0</v>
      </c>
      <c r="AS177" s="1086">
        <v>0</v>
      </c>
      <c r="AT177" s="1086">
        <f t="shared" si="10"/>
        <v>0</v>
      </c>
      <c r="AV177" s="1150">
        <f t="shared" si="11"/>
        <v>25928.27</v>
      </c>
    </row>
    <row r="178" spans="1:48" x14ac:dyDescent="0.2">
      <c r="A178" s="19">
        <v>176</v>
      </c>
      <c r="B178" t="s">
        <v>1479</v>
      </c>
      <c r="C178" t="s">
        <v>1290</v>
      </c>
      <c r="D178" t="s">
        <v>1046</v>
      </c>
      <c r="E178" t="s">
        <v>2158</v>
      </c>
      <c r="F178" t="s">
        <v>2355</v>
      </c>
      <c r="G178" t="s">
        <v>1250</v>
      </c>
      <c r="H178" t="s">
        <v>3825</v>
      </c>
      <c r="I178" t="s">
        <v>3839</v>
      </c>
      <c r="J178" t="s">
        <v>3398</v>
      </c>
      <c r="K178" t="s">
        <v>3413</v>
      </c>
      <c r="L178" t="s">
        <v>2650</v>
      </c>
      <c r="M178" s="1086">
        <v>143453.91</v>
      </c>
      <c r="N178" s="1086">
        <v>87709.84</v>
      </c>
      <c r="O178" s="1086">
        <v>50111.17</v>
      </c>
      <c r="P178" s="1086">
        <v>0</v>
      </c>
      <c r="Q178" s="1086">
        <v>0</v>
      </c>
      <c r="R178" s="1086">
        <v>0</v>
      </c>
      <c r="S178" s="1086">
        <v>1965.01</v>
      </c>
      <c r="T178" s="1086">
        <v>29.45</v>
      </c>
      <c r="U178" s="1086">
        <v>21958.57</v>
      </c>
      <c r="V178" s="1086">
        <v>0</v>
      </c>
      <c r="W178" s="1086">
        <v>26499.43</v>
      </c>
      <c r="X178" s="1086">
        <v>0</v>
      </c>
      <c r="Y178" s="1086">
        <v>0</v>
      </c>
      <c r="Z178" s="1086">
        <v>0</v>
      </c>
      <c r="AA178" s="1086">
        <v>3199.51</v>
      </c>
      <c r="AB178" s="1086">
        <v>0</v>
      </c>
      <c r="AC178" s="1086">
        <v>227622.95</v>
      </c>
      <c r="AD178" s="1086" t="s">
        <v>248</v>
      </c>
      <c r="AE178" s="1086" t="s">
        <v>3877</v>
      </c>
      <c r="AF178" s="1086">
        <f t="shared" si="9"/>
        <v>227622.94999999998</v>
      </c>
      <c r="AG178" s="1086">
        <f t="shared" si="8"/>
        <v>0</v>
      </c>
      <c r="AQ178" s="1086">
        <v>0</v>
      </c>
      <c r="AR178" s="1086">
        <v>0</v>
      </c>
      <c r="AS178" s="1086">
        <v>247474.47</v>
      </c>
      <c r="AT178" s="1086">
        <f t="shared" si="10"/>
        <v>-19851.51999999999</v>
      </c>
      <c r="AU178" s="167" t="s">
        <v>3914</v>
      </c>
      <c r="AV178" s="1150">
        <f t="shared" si="11"/>
        <v>53651.97</v>
      </c>
    </row>
    <row r="179" spans="1:48" x14ac:dyDescent="0.2">
      <c r="A179" s="19">
        <v>177</v>
      </c>
      <c r="B179" t="s">
        <v>1480</v>
      </c>
      <c r="C179" t="s">
        <v>1290</v>
      </c>
      <c r="D179" t="s">
        <v>1046</v>
      </c>
      <c r="E179" t="s">
        <v>2158</v>
      </c>
      <c r="F179" t="s">
        <v>2355</v>
      </c>
      <c r="G179" t="s">
        <v>1250</v>
      </c>
      <c r="H179" t="s">
        <v>3825</v>
      </c>
      <c r="I179" t="s">
        <v>3839</v>
      </c>
      <c r="J179" t="s">
        <v>3398</v>
      </c>
      <c r="K179" t="s">
        <v>3414</v>
      </c>
      <c r="L179" t="s">
        <v>2651</v>
      </c>
      <c r="M179" s="1086">
        <v>34868.379999999997</v>
      </c>
      <c r="N179" s="1086">
        <v>44814.75</v>
      </c>
      <c r="O179" s="1086">
        <v>0</v>
      </c>
      <c r="P179" s="1086">
        <v>0</v>
      </c>
      <c r="Q179" s="1086">
        <v>0</v>
      </c>
      <c r="R179" s="1086">
        <v>0</v>
      </c>
      <c r="S179" s="1086">
        <v>36174.29</v>
      </c>
      <c r="T179" s="1086">
        <v>654.85</v>
      </c>
      <c r="U179" s="1086">
        <v>4595</v>
      </c>
      <c r="V179" s="1086">
        <v>0</v>
      </c>
      <c r="W179" s="1086">
        <v>0</v>
      </c>
      <c r="X179" s="1086">
        <v>0</v>
      </c>
      <c r="Y179" s="1086">
        <v>0</v>
      </c>
      <c r="Z179" s="1086">
        <v>0</v>
      </c>
      <c r="AA179" s="1086">
        <v>1550</v>
      </c>
      <c r="AB179" s="1086">
        <v>0</v>
      </c>
      <c r="AC179" s="1086">
        <v>36708.99</v>
      </c>
      <c r="AD179" s="1086" t="s">
        <v>248</v>
      </c>
      <c r="AE179" s="1086" t="s">
        <v>3877</v>
      </c>
      <c r="AF179" s="1086">
        <f t="shared" si="9"/>
        <v>36708.990000000005</v>
      </c>
      <c r="AG179" s="1086">
        <f t="shared" si="8"/>
        <v>0</v>
      </c>
      <c r="AQ179" s="1086">
        <v>0</v>
      </c>
      <c r="AR179" s="1086">
        <v>0</v>
      </c>
      <c r="AS179" s="1086">
        <v>36708.99</v>
      </c>
      <c r="AT179" s="1086">
        <f t="shared" si="10"/>
        <v>0</v>
      </c>
      <c r="AV179" s="1150">
        <f t="shared" si="11"/>
        <v>42974.14</v>
      </c>
    </row>
    <row r="180" spans="1:48" x14ac:dyDescent="0.2">
      <c r="A180" s="19">
        <v>178</v>
      </c>
      <c r="B180" t="s">
        <v>1481</v>
      </c>
      <c r="C180" t="s">
        <v>1290</v>
      </c>
      <c r="D180" t="s">
        <v>1046</v>
      </c>
      <c r="E180" t="s">
        <v>2158</v>
      </c>
      <c r="F180" t="s">
        <v>2355</v>
      </c>
      <c r="G180" t="s">
        <v>1250</v>
      </c>
      <c r="H180" t="s">
        <v>3825</v>
      </c>
      <c r="I180" t="s">
        <v>3839</v>
      </c>
      <c r="J180" t="s">
        <v>3398</v>
      </c>
      <c r="K180" t="s">
        <v>3415</v>
      </c>
      <c r="L180" t="s">
        <v>2652</v>
      </c>
      <c r="M180" s="1086">
        <v>33994.36</v>
      </c>
      <c r="N180" s="1086">
        <v>25102.12</v>
      </c>
      <c r="O180" s="1086">
        <v>0</v>
      </c>
      <c r="P180" s="1086">
        <v>0</v>
      </c>
      <c r="Q180" s="1086">
        <v>0</v>
      </c>
      <c r="R180" s="1086">
        <v>0</v>
      </c>
      <c r="S180" s="1086">
        <v>9362.49</v>
      </c>
      <c r="T180" s="1086">
        <v>193.7</v>
      </c>
      <c r="U180" s="1086">
        <v>12116.04</v>
      </c>
      <c r="V180" s="1086">
        <v>0</v>
      </c>
      <c r="W180" s="1086">
        <v>0</v>
      </c>
      <c r="X180" s="1086">
        <v>1659.38</v>
      </c>
      <c r="Y180" s="1086">
        <v>0</v>
      </c>
      <c r="Z180" s="1086">
        <v>0</v>
      </c>
      <c r="AA180" s="1086">
        <v>859.64</v>
      </c>
      <c r="AB180" s="1086">
        <v>0</v>
      </c>
      <c r="AC180" s="1086">
        <v>34905.230000000003</v>
      </c>
      <c r="AD180" s="1086" t="s">
        <v>248</v>
      </c>
      <c r="AE180" s="1086" t="s">
        <v>3877</v>
      </c>
      <c r="AF180" s="1086">
        <f t="shared" si="9"/>
        <v>34905.229999999996</v>
      </c>
      <c r="AG180" s="1086">
        <f t="shared" si="8"/>
        <v>0</v>
      </c>
      <c r="AQ180" s="1086">
        <v>0</v>
      </c>
      <c r="AR180" s="1086">
        <v>0</v>
      </c>
      <c r="AS180" s="1086">
        <v>34905.230000000003</v>
      </c>
      <c r="AT180" s="1086">
        <f t="shared" si="10"/>
        <v>0</v>
      </c>
      <c r="AV180" s="1150">
        <f t="shared" si="11"/>
        <v>24191.250000000004</v>
      </c>
    </row>
    <row r="181" spans="1:48" x14ac:dyDescent="0.2">
      <c r="A181" s="19">
        <v>179</v>
      </c>
      <c r="B181" t="s">
        <v>1482</v>
      </c>
      <c r="C181" t="s">
        <v>1290</v>
      </c>
      <c r="D181" t="s">
        <v>1046</v>
      </c>
      <c r="E181" t="s">
        <v>2158</v>
      </c>
      <c r="F181" t="s">
        <v>2355</v>
      </c>
      <c r="G181" t="s">
        <v>1250</v>
      </c>
      <c r="H181" t="s">
        <v>3825</v>
      </c>
      <c r="I181" t="s">
        <v>3839</v>
      </c>
      <c r="J181" t="s">
        <v>3398</v>
      </c>
      <c r="K181" t="s">
        <v>3416</v>
      </c>
      <c r="L181" t="s">
        <v>2653</v>
      </c>
      <c r="M181" s="1086">
        <v>49959.65</v>
      </c>
      <c r="N181" s="1086">
        <v>12641.53</v>
      </c>
      <c r="O181" s="1086">
        <v>0</v>
      </c>
      <c r="P181" s="1086">
        <v>0</v>
      </c>
      <c r="Q181" s="1086">
        <v>0</v>
      </c>
      <c r="R181" s="1086">
        <v>0</v>
      </c>
      <c r="S181" s="1086">
        <v>1311.6</v>
      </c>
      <c r="T181" s="1086">
        <v>28.12</v>
      </c>
      <c r="U181" s="1086">
        <v>4383.67</v>
      </c>
      <c r="V181" s="1086">
        <v>0</v>
      </c>
      <c r="W181" s="1086">
        <v>0</v>
      </c>
      <c r="X181" s="1086">
        <v>4751.1400000000003</v>
      </c>
      <c r="Y181" s="1086">
        <v>-490</v>
      </c>
      <c r="Z181" s="1086">
        <v>0</v>
      </c>
      <c r="AA181" s="1086">
        <v>464.1</v>
      </c>
      <c r="AB181" s="1086">
        <v>0</v>
      </c>
      <c r="AC181" s="1086">
        <v>52152.55</v>
      </c>
      <c r="AD181" s="1086" t="s">
        <v>248</v>
      </c>
      <c r="AE181" s="1086" t="s">
        <v>3877</v>
      </c>
      <c r="AF181" s="1086">
        <f t="shared" si="9"/>
        <v>52152.55</v>
      </c>
      <c r="AG181" s="1086">
        <f t="shared" si="8"/>
        <v>0</v>
      </c>
      <c r="AQ181" s="1086">
        <v>0</v>
      </c>
      <c r="AR181" s="1086">
        <v>0</v>
      </c>
      <c r="AS181" s="1086">
        <v>52152.55</v>
      </c>
      <c r="AT181" s="1086">
        <f t="shared" si="10"/>
        <v>0</v>
      </c>
      <c r="AV181" s="1150">
        <f t="shared" si="11"/>
        <v>10448.629999999999</v>
      </c>
    </row>
    <row r="182" spans="1:48" x14ac:dyDescent="0.2">
      <c r="A182" s="19">
        <v>180</v>
      </c>
      <c r="B182" t="s">
        <v>1483</v>
      </c>
      <c r="C182" t="s">
        <v>1290</v>
      </c>
      <c r="D182" t="s">
        <v>1043</v>
      </c>
      <c r="E182" t="s">
        <v>2159</v>
      </c>
      <c r="F182" t="s">
        <v>2356</v>
      </c>
      <c r="G182" t="s">
        <v>1250</v>
      </c>
      <c r="H182" t="s">
        <v>3826</v>
      </c>
      <c r="I182" t="s">
        <v>3839</v>
      </c>
      <c r="J182" t="s">
        <v>3417</v>
      </c>
      <c r="K182" t="s">
        <v>3418</v>
      </c>
      <c r="L182" t="s">
        <v>2654</v>
      </c>
      <c r="M182" s="1086">
        <v>1453645.88</v>
      </c>
      <c r="N182" s="1086">
        <v>68084.759999999995</v>
      </c>
      <c r="O182" s="1086">
        <v>1686354</v>
      </c>
      <c r="P182" s="1086">
        <v>2119733.2799999998</v>
      </c>
      <c r="Q182" s="1086">
        <v>0</v>
      </c>
      <c r="R182" s="1086">
        <v>26077.62</v>
      </c>
      <c r="S182" s="1086">
        <v>53360</v>
      </c>
      <c r="T182" s="1086">
        <v>655180.28</v>
      </c>
      <c r="U182" s="1086">
        <v>93809.41</v>
      </c>
      <c r="V182" s="1086">
        <v>0</v>
      </c>
      <c r="W182" s="1086">
        <v>0</v>
      </c>
      <c r="X182" s="1086">
        <v>33355.42</v>
      </c>
      <c r="Y182" s="1086">
        <v>0</v>
      </c>
      <c r="Z182" s="1086">
        <v>0</v>
      </c>
      <c r="AA182" s="1086">
        <v>92276.07</v>
      </c>
      <c r="AB182" s="1086">
        <v>0</v>
      </c>
      <c r="AC182" s="1086">
        <v>134292.56</v>
      </c>
      <c r="AD182" s="1086" t="s">
        <v>248</v>
      </c>
      <c r="AE182" s="1086" t="s">
        <v>3877</v>
      </c>
      <c r="AF182" s="1086">
        <f t="shared" si="9"/>
        <v>134292.56000000006</v>
      </c>
      <c r="AG182" s="1086">
        <f t="shared" si="8"/>
        <v>0</v>
      </c>
      <c r="AQ182" s="1086">
        <v>0</v>
      </c>
      <c r="AR182" s="1086">
        <v>0</v>
      </c>
      <c r="AS182" s="1086">
        <v>134292.56</v>
      </c>
      <c r="AT182" s="1086">
        <f t="shared" si="10"/>
        <v>0</v>
      </c>
      <c r="AV182" s="1150">
        <f t="shared" si="11"/>
        <v>3073792.0799999996</v>
      </c>
    </row>
    <row r="183" spans="1:48" x14ac:dyDescent="0.2">
      <c r="A183" s="19">
        <v>181</v>
      </c>
      <c r="B183" t="s">
        <v>1484</v>
      </c>
      <c r="C183" t="s">
        <v>1290</v>
      </c>
      <c r="D183" t="s">
        <v>1039</v>
      </c>
      <c r="E183" t="s">
        <v>2160</v>
      </c>
      <c r="F183" t="s">
        <v>2357</v>
      </c>
      <c r="G183" t="s">
        <v>1250</v>
      </c>
      <c r="H183" t="s">
        <v>3825</v>
      </c>
      <c r="I183" t="s">
        <v>3839</v>
      </c>
      <c r="J183" t="s">
        <v>3266</v>
      </c>
      <c r="K183" t="s">
        <v>3419</v>
      </c>
      <c r="L183" t="s">
        <v>2655</v>
      </c>
      <c r="M183" s="1086">
        <v>3099.33</v>
      </c>
      <c r="N183" s="1086">
        <v>94395.9</v>
      </c>
      <c r="O183" s="1086">
        <v>55000</v>
      </c>
      <c r="P183" s="1086">
        <v>0</v>
      </c>
      <c r="Q183" s="1086">
        <v>0</v>
      </c>
      <c r="R183" s="1086">
        <v>0</v>
      </c>
      <c r="S183" s="1086">
        <v>0</v>
      </c>
      <c r="T183" s="1086">
        <v>0</v>
      </c>
      <c r="U183" s="1086">
        <v>130802.09</v>
      </c>
      <c r="V183" s="1086">
        <v>0</v>
      </c>
      <c r="W183" s="1086">
        <v>0</v>
      </c>
      <c r="X183" s="1086">
        <v>0</v>
      </c>
      <c r="Y183" s="1086">
        <v>0</v>
      </c>
      <c r="Z183" s="1086">
        <v>0</v>
      </c>
      <c r="AA183" s="1086">
        <v>3319.16</v>
      </c>
      <c r="AB183" s="1086">
        <v>0</v>
      </c>
      <c r="AC183" s="1086">
        <v>18373.98</v>
      </c>
      <c r="AD183" s="1086" t="s">
        <v>248</v>
      </c>
      <c r="AE183" s="1086" t="s">
        <v>3877</v>
      </c>
      <c r="AF183" s="1086">
        <f t="shared" si="9"/>
        <v>18373.979999999981</v>
      </c>
      <c r="AG183" s="1086">
        <f t="shared" si="8"/>
        <v>0</v>
      </c>
      <c r="AQ183" s="1086">
        <v>0</v>
      </c>
      <c r="AR183" s="1086">
        <v>0</v>
      </c>
      <c r="AS183" s="1086">
        <v>18373.98</v>
      </c>
      <c r="AT183" s="1086">
        <f t="shared" si="10"/>
        <v>0</v>
      </c>
      <c r="AV183" s="1150">
        <f t="shared" si="11"/>
        <v>134121.25</v>
      </c>
    </row>
    <row r="184" spans="1:48" x14ac:dyDescent="0.2">
      <c r="A184" s="19">
        <v>182</v>
      </c>
      <c r="B184" t="s">
        <v>1485</v>
      </c>
      <c r="C184" t="s">
        <v>1290</v>
      </c>
      <c r="D184" t="s">
        <v>1039</v>
      </c>
      <c r="E184" t="s">
        <v>2160</v>
      </c>
      <c r="F184" t="s">
        <v>2357</v>
      </c>
      <c r="G184" t="s">
        <v>1250</v>
      </c>
      <c r="H184" t="s">
        <v>3825</v>
      </c>
      <c r="I184" t="s">
        <v>3839</v>
      </c>
      <c r="J184" t="s">
        <v>3266</v>
      </c>
      <c r="K184" t="s">
        <v>3420</v>
      </c>
      <c r="L184" t="s">
        <v>2656</v>
      </c>
      <c r="M184" s="1086">
        <v>861128.49</v>
      </c>
      <c r="N184" s="1086">
        <v>516865.24</v>
      </c>
      <c r="O184" s="1086">
        <v>0</v>
      </c>
      <c r="P184" s="1086">
        <v>5200</v>
      </c>
      <c r="Q184" s="1086">
        <v>0</v>
      </c>
      <c r="R184" s="1086">
        <v>112901.35</v>
      </c>
      <c r="S184" s="1086">
        <v>137399.82</v>
      </c>
      <c r="T184" s="1086">
        <v>98696.9</v>
      </c>
      <c r="U184" s="1086">
        <v>203256.84</v>
      </c>
      <c r="V184" s="1086">
        <v>0</v>
      </c>
      <c r="W184" s="1086">
        <v>550.62</v>
      </c>
      <c r="X184" s="1086">
        <v>4759.53</v>
      </c>
      <c r="Y184" s="1086">
        <v>-46242.59</v>
      </c>
      <c r="Z184" s="1086">
        <v>0</v>
      </c>
      <c r="AA184" s="1086">
        <v>59018.52</v>
      </c>
      <c r="AB184" s="1086">
        <v>0</v>
      </c>
      <c r="AC184" s="1086">
        <v>802452.74</v>
      </c>
      <c r="AD184" s="1086" t="s">
        <v>248</v>
      </c>
      <c r="AE184" s="1086" t="s">
        <v>3877</v>
      </c>
      <c r="AF184" s="1086">
        <f t="shared" si="9"/>
        <v>802452.73999999987</v>
      </c>
      <c r="AG184" s="1086">
        <f t="shared" si="8"/>
        <v>0</v>
      </c>
      <c r="AQ184" s="1086">
        <v>0</v>
      </c>
      <c r="AR184" s="1086">
        <v>0</v>
      </c>
      <c r="AS184" s="1086">
        <v>802452.74</v>
      </c>
      <c r="AT184" s="1086">
        <f t="shared" si="10"/>
        <v>0</v>
      </c>
      <c r="AV184" s="1150">
        <f t="shared" si="11"/>
        <v>575540.99000000011</v>
      </c>
    </row>
    <row r="185" spans="1:48" x14ac:dyDescent="0.2">
      <c r="A185" s="19">
        <v>183</v>
      </c>
      <c r="B185" t="s">
        <v>1486</v>
      </c>
      <c r="C185" t="s">
        <v>1290</v>
      </c>
      <c r="D185" t="s">
        <v>1005</v>
      </c>
      <c r="E185" t="s">
        <v>2161</v>
      </c>
      <c r="F185" t="s">
        <v>2358</v>
      </c>
      <c r="G185" t="s">
        <v>1250</v>
      </c>
      <c r="H185" t="s">
        <v>3823</v>
      </c>
      <c r="I185" t="s">
        <v>3839</v>
      </c>
      <c r="J185" t="s">
        <v>3355</v>
      </c>
      <c r="K185" t="s">
        <v>3421</v>
      </c>
      <c r="L185" t="s">
        <v>2657</v>
      </c>
      <c r="M185" s="1086">
        <v>37677.07</v>
      </c>
      <c r="N185" s="1086">
        <v>0</v>
      </c>
      <c r="O185" s="1086">
        <v>0</v>
      </c>
      <c r="P185" s="1086">
        <v>0</v>
      </c>
      <c r="Q185" s="1086">
        <v>0</v>
      </c>
      <c r="R185" s="1086">
        <v>0</v>
      </c>
      <c r="S185" s="1086">
        <v>0</v>
      </c>
      <c r="T185" s="1086">
        <v>0</v>
      </c>
      <c r="U185" s="1086">
        <v>759.09</v>
      </c>
      <c r="V185" s="1086">
        <v>0</v>
      </c>
      <c r="W185" s="1086">
        <v>0</v>
      </c>
      <c r="X185" s="1086">
        <v>0</v>
      </c>
      <c r="Y185" s="1086">
        <v>0</v>
      </c>
      <c r="Z185" s="1086">
        <v>0</v>
      </c>
      <c r="AA185" s="1086">
        <v>0</v>
      </c>
      <c r="AB185" s="1086">
        <v>0</v>
      </c>
      <c r="AC185" s="1086">
        <v>36917.980000000003</v>
      </c>
      <c r="AD185" s="1086" t="s">
        <v>248</v>
      </c>
      <c r="AE185" s="1086" t="s">
        <v>3877</v>
      </c>
      <c r="AF185" s="1086">
        <f t="shared" si="9"/>
        <v>36917.980000000003</v>
      </c>
      <c r="AG185" s="1086">
        <f t="shared" si="8"/>
        <v>0</v>
      </c>
      <c r="AQ185" s="1086">
        <v>0</v>
      </c>
      <c r="AR185" s="1086">
        <v>0</v>
      </c>
      <c r="AS185" s="1086">
        <v>36917.980000000003</v>
      </c>
      <c r="AT185" s="1086">
        <f t="shared" si="10"/>
        <v>0</v>
      </c>
      <c r="AV185" s="1150">
        <f t="shared" si="11"/>
        <v>759.09</v>
      </c>
    </row>
    <row r="186" spans="1:48" x14ac:dyDescent="0.2">
      <c r="A186" s="19">
        <v>184</v>
      </c>
      <c r="B186" t="s">
        <v>1487</v>
      </c>
      <c r="C186" t="s">
        <v>1290</v>
      </c>
      <c r="D186" t="s">
        <v>1005</v>
      </c>
      <c r="E186" t="s">
        <v>2161</v>
      </c>
      <c r="F186" t="s">
        <v>2358</v>
      </c>
      <c r="G186" t="s">
        <v>1250</v>
      </c>
      <c r="H186" t="s">
        <v>3823</v>
      </c>
      <c r="I186" t="s">
        <v>3839</v>
      </c>
      <c r="J186" t="s">
        <v>3355</v>
      </c>
      <c r="K186" t="s">
        <v>3422</v>
      </c>
      <c r="L186" t="s">
        <v>2658</v>
      </c>
      <c r="M186" s="1086">
        <v>30310.75</v>
      </c>
      <c r="N186" s="1086">
        <v>0</v>
      </c>
      <c r="O186" s="1086">
        <v>0</v>
      </c>
      <c r="P186" s="1086">
        <v>1527.78</v>
      </c>
      <c r="Q186" s="1086">
        <v>0</v>
      </c>
      <c r="R186" s="1086">
        <v>0</v>
      </c>
      <c r="S186" s="1086">
        <v>0</v>
      </c>
      <c r="T186" s="1086">
        <v>789.05</v>
      </c>
      <c r="U186" s="1086">
        <v>0</v>
      </c>
      <c r="V186" s="1086">
        <v>0</v>
      </c>
      <c r="W186" s="1086">
        <v>0</v>
      </c>
      <c r="X186" s="1086">
        <v>0</v>
      </c>
      <c r="Y186" s="1086">
        <v>0</v>
      </c>
      <c r="Z186" s="1086">
        <v>0</v>
      </c>
      <c r="AA186" s="1086">
        <v>0</v>
      </c>
      <c r="AB186" s="1086">
        <v>0</v>
      </c>
      <c r="AC186" s="1086">
        <v>27993.919999999998</v>
      </c>
      <c r="AD186" s="1086" t="s">
        <v>248</v>
      </c>
      <c r="AE186" s="1086" t="s">
        <v>3877</v>
      </c>
      <c r="AF186" s="1086">
        <f t="shared" si="9"/>
        <v>27993.919999999998</v>
      </c>
      <c r="AG186" s="1086">
        <f t="shared" si="8"/>
        <v>0</v>
      </c>
      <c r="AQ186" s="1086">
        <v>0</v>
      </c>
      <c r="AR186" s="1086">
        <v>0</v>
      </c>
      <c r="AS186" s="1086">
        <v>27993.919999999998</v>
      </c>
      <c r="AT186" s="1086">
        <f t="shared" si="10"/>
        <v>0</v>
      </c>
      <c r="AV186" s="1150">
        <f t="shared" si="11"/>
        <v>2316.83</v>
      </c>
    </row>
    <row r="187" spans="1:48" x14ac:dyDescent="0.2">
      <c r="A187" s="19">
        <v>185</v>
      </c>
      <c r="B187" t="s">
        <v>1488</v>
      </c>
      <c r="C187" t="s">
        <v>1290</v>
      </c>
      <c r="D187" t="s">
        <v>1005</v>
      </c>
      <c r="E187" t="s">
        <v>2161</v>
      </c>
      <c r="F187" t="s">
        <v>2358</v>
      </c>
      <c r="G187" t="s">
        <v>1250</v>
      </c>
      <c r="H187" t="s">
        <v>3825</v>
      </c>
      <c r="I187" t="s">
        <v>3839</v>
      </c>
      <c r="J187" t="s">
        <v>3355</v>
      </c>
      <c r="K187" t="s">
        <v>3423</v>
      </c>
      <c r="L187" t="s">
        <v>2659</v>
      </c>
      <c r="M187" s="1086">
        <v>81223.23</v>
      </c>
      <c r="N187" s="1086">
        <v>0</v>
      </c>
      <c r="O187" s="1086">
        <v>34722</v>
      </c>
      <c r="P187" s="1086">
        <v>0</v>
      </c>
      <c r="Q187" s="1086">
        <v>0</v>
      </c>
      <c r="R187" s="1086">
        <v>0</v>
      </c>
      <c r="S187" s="1086">
        <v>0</v>
      </c>
      <c r="T187" s="1086">
        <v>0</v>
      </c>
      <c r="U187" s="1086">
        <v>0</v>
      </c>
      <c r="V187" s="1086">
        <v>0</v>
      </c>
      <c r="W187" s="1086">
        <v>0</v>
      </c>
      <c r="X187" s="1086">
        <v>0</v>
      </c>
      <c r="Y187" s="1086">
        <v>0</v>
      </c>
      <c r="Z187" s="1086">
        <v>0</v>
      </c>
      <c r="AA187" s="1086">
        <v>0</v>
      </c>
      <c r="AB187" s="1086">
        <v>0</v>
      </c>
      <c r="AC187" s="1086">
        <v>115945.23</v>
      </c>
      <c r="AD187" s="1086" t="s">
        <v>248</v>
      </c>
      <c r="AE187" s="1086" t="s">
        <v>3877</v>
      </c>
      <c r="AF187" s="1086">
        <f t="shared" si="9"/>
        <v>115945.23</v>
      </c>
      <c r="AG187" s="1086">
        <f t="shared" si="8"/>
        <v>0</v>
      </c>
      <c r="AQ187" s="1086">
        <v>0</v>
      </c>
      <c r="AR187" s="1086">
        <v>0</v>
      </c>
      <c r="AS187" s="1086">
        <v>115945.23</v>
      </c>
      <c r="AT187" s="1086">
        <f t="shared" si="10"/>
        <v>0</v>
      </c>
      <c r="AV187" s="1150">
        <f t="shared" si="11"/>
        <v>0</v>
      </c>
    </row>
    <row r="188" spans="1:48" x14ac:dyDescent="0.2">
      <c r="A188" s="19">
        <v>186</v>
      </c>
      <c r="B188" t="s">
        <v>1489</v>
      </c>
      <c r="C188" t="s">
        <v>1290</v>
      </c>
      <c r="D188" t="s">
        <v>1005</v>
      </c>
      <c r="E188" t="s">
        <v>2161</v>
      </c>
      <c r="F188" t="s">
        <v>2358</v>
      </c>
      <c r="G188" t="s">
        <v>1250</v>
      </c>
      <c r="H188" t="s">
        <v>3823</v>
      </c>
      <c r="I188" t="s">
        <v>3839</v>
      </c>
      <c r="J188" t="s">
        <v>3355</v>
      </c>
      <c r="K188" t="s">
        <v>3424</v>
      </c>
      <c r="L188" t="s">
        <v>2660</v>
      </c>
      <c r="M188" s="1086">
        <v>37434.33</v>
      </c>
      <c r="N188" s="1086">
        <v>0</v>
      </c>
      <c r="O188" s="1086">
        <v>0</v>
      </c>
      <c r="P188" s="1086">
        <v>1091.67</v>
      </c>
      <c r="Q188" s="1086">
        <v>0</v>
      </c>
      <c r="R188" s="1086">
        <v>0</v>
      </c>
      <c r="S188" s="1086">
        <v>0</v>
      </c>
      <c r="T188" s="1086">
        <v>34.39</v>
      </c>
      <c r="U188" s="1086">
        <v>14114</v>
      </c>
      <c r="V188" s="1086">
        <v>0</v>
      </c>
      <c r="W188" s="1086">
        <v>0</v>
      </c>
      <c r="X188" s="1086">
        <v>0</v>
      </c>
      <c r="Y188" s="1086">
        <v>0</v>
      </c>
      <c r="Z188" s="1086">
        <v>0</v>
      </c>
      <c r="AA188" s="1086">
        <v>0</v>
      </c>
      <c r="AB188" s="1086">
        <v>0</v>
      </c>
      <c r="AC188" s="1086">
        <v>22194.27</v>
      </c>
      <c r="AD188" s="1086" t="s">
        <v>248</v>
      </c>
      <c r="AE188" s="1086" t="s">
        <v>3877</v>
      </c>
      <c r="AF188" s="1086">
        <f t="shared" si="9"/>
        <v>22194.270000000004</v>
      </c>
      <c r="AG188" s="1086">
        <f t="shared" si="8"/>
        <v>0</v>
      </c>
      <c r="AQ188" s="1086">
        <v>0</v>
      </c>
      <c r="AR188" s="1086">
        <v>0</v>
      </c>
      <c r="AS188" s="1086">
        <v>22194.27</v>
      </c>
      <c r="AT188" s="1086">
        <f t="shared" si="10"/>
        <v>0</v>
      </c>
      <c r="AV188" s="1150">
        <f t="shared" si="11"/>
        <v>15240.06</v>
      </c>
    </row>
    <row r="189" spans="1:48" x14ac:dyDescent="0.2">
      <c r="A189" s="19">
        <v>187</v>
      </c>
      <c r="B189" t="s">
        <v>1490</v>
      </c>
      <c r="C189" t="s">
        <v>1290</v>
      </c>
      <c r="D189" t="s">
        <v>1005</v>
      </c>
      <c r="E189" t="s">
        <v>2161</v>
      </c>
      <c r="F189" t="s">
        <v>2358</v>
      </c>
      <c r="G189" t="s">
        <v>1250</v>
      </c>
      <c r="H189" t="s">
        <v>3823</v>
      </c>
      <c r="I189">
        <v>0</v>
      </c>
      <c r="L189" t="s">
        <v>2661</v>
      </c>
      <c r="M189" s="1086">
        <v>3803.59</v>
      </c>
      <c r="N189" s="1086">
        <v>0</v>
      </c>
      <c r="O189" s="1086">
        <v>0</v>
      </c>
      <c r="P189" s="1086">
        <v>1275.68</v>
      </c>
      <c r="Q189" s="1086">
        <v>0</v>
      </c>
      <c r="R189" s="1086">
        <v>0</v>
      </c>
      <c r="S189" s="1086">
        <v>0</v>
      </c>
      <c r="T189" s="1086">
        <v>18.5</v>
      </c>
      <c r="U189" s="1086">
        <v>2509.41</v>
      </c>
      <c r="V189" s="1086">
        <v>0</v>
      </c>
      <c r="W189" s="1086">
        <v>0</v>
      </c>
      <c r="X189" s="1086">
        <v>0</v>
      </c>
      <c r="Y189" s="1086">
        <v>0</v>
      </c>
      <c r="Z189" s="1086">
        <v>0</v>
      </c>
      <c r="AA189" s="1086">
        <v>0</v>
      </c>
      <c r="AB189" s="1086">
        <v>0</v>
      </c>
      <c r="AC189" s="1086">
        <v>0</v>
      </c>
      <c r="AD189" s="1086" t="s">
        <v>248</v>
      </c>
      <c r="AE189" s="1086" t="s">
        <v>3877</v>
      </c>
      <c r="AF189" s="1086">
        <f t="shared" si="9"/>
        <v>0</v>
      </c>
      <c r="AG189" s="1086">
        <f t="shared" si="8"/>
        <v>0</v>
      </c>
      <c r="AQ189" s="1086">
        <v>0</v>
      </c>
      <c r="AR189" s="1086">
        <v>0</v>
      </c>
      <c r="AS189" s="1086">
        <v>0</v>
      </c>
      <c r="AT189" s="1086">
        <f t="shared" si="10"/>
        <v>0</v>
      </c>
      <c r="AV189" s="1150">
        <f t="shared" si="11"/>
        <v>3803.59</v>
      </c>
    </row>
    <row r="190" spans="1:48" x14ac:dyDescent="0.2">
      <c r="A190" s="19">
        <v>188</v>
      </c>
      <c r="B190" t="s">
        <v>1491</v>
      </c>
      <c r="C190" t="s">
        <v>1290</v>
      </c>
      <c r="D190" t="s">
        <v>1005</v>
      </c>
      <c r="E190" t="s">
        <v>2161</v>
      </c>
      <c r="F190" t="s">
        <v>2358</v>
      </c>
      <c r="G190" t="s">
        <v>1250</v>
      </c>
      <c r="H190" t="s">
        <v>3823</v>
      </c>
      <c r="I190" t="s">
        <v>3839</v>
      </c>
      <c r="J190" t="s">
        <v>3355</v>
      </c>
      <c r="K190" t="s">
        <v>3425</v>
      </c>
      <c r="L190" t="s">
        <v>2662</v>
      </c>
      <c r="M190" s="1086">
        <v>4243.28</v>
      </c>
      <c r="N190" s="1086">
        <v>3131.7</v>
      </c>
      <c r="O190" s="1086">
        <v>0</v>
      </c>
      <c r="P190" s="1086">
        <v>0</v>
      </c>
      <c r="Q190" s="1086">
        <v>0</v>
      </c>
      <c r="R190" s="1086">
        <v>0</v>
      </c>
      <c r="S190" s="1086">
        <v>0</v>
      </c>
      <c r="T190" s="1086">
        <v>0</v>
      </c>
      <c r="U190" s="1086">
        <v>125</v>
      </c>
      <c r="V190" s="1086">
        <v>0</v>
      </c>
      <c r="W190" s="1086">
        <v>0</v>
      </c>
      <c r="X190" s="1086">
        <v>875</v>
      </c>
      <c r="Y190" s="1086">
        <v>0</v>
      </c>
      <c r="Z190" s="1086">
        <v>0</v>
      </c>
      <c r="AA190" s="1086">
        <v>109.61</v>
      </c>
      <c r="AB190" s="1086">
        <v>0</v>
      </c>
      <c r="AC190" s="1086">
        <v>6265.37</v>
      </c>
      <c r="AD190" s="1086" t="s">
        <v>248</v>
      </c>
      <c r="AE190" s="1086" t="s">
        <v>3877</v>
      </c>
      <c r="AF190" s="1086">
        <f t="shared" si="9"/>
        <v>6265.37</v>
      </c>
      <c r="AG190" s="1086">
        <f t="shared" si="8"/>
        <v>0</v>
      </c>
      <c r="AQ190" s="1086">
        <v>0</v>
      </c>
      <c r="AR190" s="1086">
        <v>0</v>
      </c>
      <c r="AS190" s="1086">
        <v>6265.37</v>
      </c>
      <c r="AT190" s="1086">
        <f t="shared" si="10"/>
        <v>0</v>
      </c>
      <c r="AV190" s="1150">
        <f t="shared" si="11"/>
        <v>1109.6099999999999</v>
      </c>
    </row>
    <row r="191" spans="1:48" x14ac:dyDescent="0.2">
      <c r="A191" s="19">
        <v>189</v>
      </c>
      <c r="B191" t="s">
        <v>1492</v>
      </c>
      <c r="C191" t="s">
        <v>1290</v>
      </c>
      <c r="D191" t="s">
        <v>1005</v>
      </c>
      <c r="E191" t="s">
        <v>2161</v>
      </c>
      <c r="F191" t="s">
        <v>2358</v>
      </c>
      <c r="G191" t="s">
        <v>1250</v>
      </c>
      <c r="H191" t="s">
        <v>3823</v>
      </c>
      <c r="I191">
        <v>0</v>
      </c>
      <c r="L191" t="s">
        <v>2663</v>
      </c>
      <c r="M191" s="1086">
        <v>857.04</v>
      </c>
      <c r="N191" s="1086">
        <v>0</v>
      </c>
      <c r="O191" s="1086">
        <v>0</v>
      </c>
      <c r="P191" s="1086">
        <v>0</v>
      </c>
      <c r="Q191" s="1086">
        <v>0</v>
      </c>
      <c r="R191" s="1086">
        <v>0</v>
      </c>
      <c r="S191" s="1086">
        <v>0</v>
      </c>
      <c r="T191" s="1086">
        <v>0</v>
      </c>
      <c r="U191" s="1086">
        <v>857.04</v>
      </c>
      <c r="V191" s="1086">
        <v>0</v>
      </c>
      <c r="W191" s="1086">
        <v>0</v>
      </c>
      <c r="X191" s="1086">
        <v>0</v>
      </c>
      <c r="Y191" s="1086">
        <v>0</v>
      </c>
      <c r="Z191" s="1086">
        <v>0</v>
      </c>
      <c r="AA191" s="1086">
        <v>0</v>
      </c>
      <c r="AB191" s="1086">
        <v>0</v>
      </c>
      <c r="AC191" s="1086">
        <v>0</v>
      </c>
      <c r="AD191" s="1086" t="s">
        <v>248</v>
      </c>
      <c r="AE191" s="1086" t="s">
        <v>3877</v>
      </c>
      <c r="AF191" s="1086">
        <f t="shared" si="9"/>
        <v>0</v>
      </c>
      <c r="AG191" s="1086">
        <f t="shared" si="8"/>
        <v>0</v>
      </c>
      <c r="AQ191" s="1086">
        <v>0</v>
      </c>
      <c r="AR191" s="1086">
        <v>0</v>
      </c>
      <c r="AS191" s="1086">
        <v>0</v>
      </c>
      <c r="AT191" s="1086">
        <f t="shared" si="10"/>
        <v>0</v>
      </c>
      <c r="AV191" s="1150">
        <f t="shared" si="11"/>
        <v>857.04</v>
      </c>
    </row>
    <row r="192" spans="1:48" x14ac:dyDescent="0.2">
      <c r="A192" s="19">
        <v>190</v>
      </c>
      <c r="B192" t="s">
        <v>1493</v>
      </c>
      <c r="C192" t="s">
        <v>1290</v>
      </c>
      <c r="D192" t="s">
        <v>1005</v>
      </c>
      <c r="E192" t="s">
        <v>2161</v>
      </c>
      <c r="F192" t="s">
        <v>2358</v>
      </c>
      <c r="G192" t="s">
        <v>1250</v>
      </c>
      <c r="H192" t="s">
        <v>3823</v>
      </c>
      <c r="I192" t="s">
        <v>3839</v>
      </c>
      <c r="J192" t="s">
        <v>3355</v>
      </c>
      <c r="K192" t="s">
        <v>3426</v>
      </c>
      <c r="L192" t="s">
        <v>2664</v>
      </c>
      <c r="M192" s="1086">
        <v>75526.899999999994</v>
      </c>
      <c r="N192" s="1086">
        <v>73.69</v>
      </c>
      <c r="O192" s="1086">
        <v>0</v>
      </c>
      <c r="P192" s="1086">
        <v>0</v>
      </c>
      <c r="Q192" s="1086">
        <v>0</v>
      </c>
      <c r="R192" s="1086">
        <v>0</v>
      </c>
      <c r="S192" s="1086">
        <v>0</v>
      </c>
      <c r="T192" s="1086">
        <v>0</v>
      </c>
      <c r="U192" s="1086">
        <v>1276.99</v>
      </c>
      <c r="V192" s="1086">
        <v>0</v>
      </c>
      <c r="W192" s="1086">
        <v>0</v>
      </c>
      <c r="X192" s="1086">
        <v>0</v>
      </c>
      <c r="Y192" s="1086">
        <v>0</v>
      </c>
      <c r="Z192" s="1086">
        <v>0</v>
      </c>
      <c r="AA192" s="1086">
        <v>2.58</v>
      </c>
      <c r="AB192" s="1086">
        <v>0</v>
      </c>
      <c r="AC192" s="1086">
        <v>74321.02</v>
      </c>
      <c r="AD192" s="1086" t="s">
        <v>248</v>
      </c>
      <c r="AE192" s="1086" t="s">
        <v>3877</v>
      </c>
      <c r="AF192" s="1086">
        <f t="shared" si="9"/>
        <v>74321.01999999999</v>
      </c>
      <c r="AG192" s="1086">
        <f t="shared" si="8"/>
        <v>0</v>
      </c>
      <c r="AQ192" s="1086">
        <v>0</v>
      </c>
      <c r="AR192" s="1086">
        <v>0</v>
      </c>
      <c r="AS192" s="1086">
        <v>74321.02</v>
      </c>
      <c r="AT192" s="1086">
        <f t="shared" si="10"/>
        <v>0</v>
      </c>
      <c r="AV192" s="1150">
        <f t="shared" si="11"/>
        <v>1279.57</v>
      </c>
    </row>
    <row r="193" spans="1:48" x14ac:dyDescent="0.2">
      <c r="A193" s="19">
        <v>191</v>
      </c>
      <c r="B193" t="s">
        <v>1494</v>
      </c>
      <c r="C193" t="s">
        <v>1290</v>
      </c>
      <c r="D193" t="s">
        <v>1005</v>
      </c>
      <c r="E193" t="s">
        <v>2161</v>
      </c>
      <c r="F193" t="s">
        <v>2358</v>
      </c>
      <c r="G193" t="s">
        <v>1250</v>
      </c>
      <c r="H193" t="s">
        <v>3823</v>
      </c>
      <c r="I193" t="s">
        <v>3839</v>
      </c>
      <c r="J193" t="s">
        <v>3355</v>
      </c>
      <c r="K193" t="s">
        <v>3427</v>
      </c>
      <c r="L193" t="s">
        <v>2665</v>
      </c>
      <c r="M193" s="1086">
        <v>89284.17</v>
      </c>
      <c r="N193" s="1086">
        <v>0</v>
      </c>
      <c r="O193" s="1086">
        <v>0</v>
      </c>
      <c r="P193" s="1086">
        <v>59383.4</v>
      </c>
      <c r="Q193" s="1086">
        <v>0</v>
      </c>
      <c r="R193" s="1086">
        <v>0</v>
      </c>
      <c r="S193" s="1086">
        <v>0</v>
      </c>
      <c r="T193" s="1086">
        <v>6551.53</v>
      </c>
      <c r="U193" s="1086">
        <v>310.7</v>
      </c>
      <c r="V193" s="1086">
        <v>0</v>
      </c>
      <c r="W193" s="1086">
        <v>0</v>
      </c>
      <c r="X193" s="1086">
        <v>2745.36</v>
      </c>
      <c r="Y193" s="1086">
        <v>0</v>
      </c>
      <c r="Z193" s="1086">
        <v>0</v>
      </c>
      <c r="AA193" s="1086">
        <v>0</v>
      </c>
      <c r="AB193" s="1086">
        <v>0</v>
      </c>
      <c r="AC193" s="1086">
        <v>20293.18</v>
      </c>
      <c r="AD193" s="1086" t="s">
        <v>248</v>
      </c>
      <c r="AE193" s="1086" t="s">
        <v>3877</v>
      </c>
      <c r="AF193" s="1086">
        <f t="shared" si="9"/>
        <v>20293.179999999993</v>
      </c>
      <c r="AG193" s="1086">
        <f t="shared" si="8"/>
        <v>0</v>
      </c>
      <c r="AQ193" s="1086">
        <v>0</v>
      </c>
      <c r="AR193" s="1086">
        <v>0</v>
      </c>
      <c r="AS193" s="1086">
        <v>20293.18</v>
      </c>
      <c r="AT193" s="1086">
        <f t="shared" si="10"/>
        <v>0</v>
      </c>
      <c r="AV193" s="1150">
        <f t="shared" si="11"/>
        <v>68990.990000000005</v>
      </c>
    </row>
    <row r="194" spans="1:48" x14ac:dyDescent="0.2">
      <c r="A194" s="19">
        <v>192</v>
      </c>
      <c r="B194" t="s">
        <v>1495</v>
      </c>
      <c r="C194" t="s">
        <v>1290</v>
      </c>
      <c r="D194" t="s">
        <v>1005</v>
      </c>
      <c r="E194" t="s">
        <v>2161</v>
      </c>
      <c r="F194" t="s">
        <v>2358</v>
      </c>
      <c r="G194" t="s">
        <v>1250</v>
      </c>
      <c r="H194" t="s">
        <v>3823</v>
      </c>
      <c r="I194" t="s">
        <v>3839</v>
      </c>
      <c r="J194" t="s">
        <v>3355</v>
      </c>
      <c r="K194" t="s">
        <v>3428</v>
      </c>
      <c r="L194" t="s">
        <v>2666</v>
      </c>
      <c r="M194" s="1086">
        <v>71910.44</v>
      </c>
      <c r="N194" s="1086">
        <v>0</v>
      </c>
      <c r="O194" s="1086">
        <v>0</v>
      </c>
      <c r="P194" s="1086">
        <v>15749.99</v>
      </c>
      <c r="Q194" s="1086">
        <v>0</v>
      </c>
      <c r="R194" s="1086">
        <v>0</v>
      </c>
      <c r="S194" s="1086">
        <v>896.4</v>
      </c>
      <c r="T194" s="1086">
        <v>663.01</v>
      </c>
      <c r="U194" s="1086">
        <v>1396.43</v>
      </c>
      <c r="V194" s="1086">
        <v>0</v>
      </c>
      <c r="W194" s="1086">
        <v>0</v>
      </c>
      <c r="X194" s="1086">
        <v>5852.93</v>
      </c>
      <c r="Y194" s="1086">
        <v>0</v>
      </c>
      <c r="Z194" s="1086">
        <v>0</v>
      </c>
      <c r="AA194" s="1086">
        <v>0</v>
      </c>
      <c r="AB194" s="1086">
        <v>0</v>
      </c>
      <c r="AC194" s="1086">
        <v>47351.68</v>
      </c>
      <c r="AD194" s="1086" t="s">
        <v>248</v>
      </c>
      <c r="AE194" s="1086" t="s">
        <v>3877</v>
      </c>
      <c r="AF194" s="1086">
        <f t="shared" si="9"/>
        <v>47351.680000000008</v>
      </c>
      <c r="AG194" s="1086">
        <f t="shared" si="8"/>
        <v>0</v>
      </c>
      <c r="AQ194" s="1086">
        <v>0</v>
      </c>
      <c r="AR194" s="1086">
        <v>0</v>
      </c>
      <c r="AS194" s="1086">
        <v>47351.68</v>
      </c>
      <c r="AT194" s="1086">
        <f t="shared" si="10"/>
        <v>0</v>
      </c>
      <c r="AV194" s="1150">
        <f t="shared" si="11"/>
        <v>24558.76</v>
      </c>
    </row>
    <row r="195" spans="1:48" x14ac:dyDescent="0.2">
      <c r="A195" s="19">
        <v>193</v>
      </c>
      <c r="B195" t="s">
        <v>1496</v>
      </c>
      <c r="C195" t="s">
        <v>1290</v>
      </c>
      <c r="D195" t="s">
        <v>1005</v>
      </c>
      <c r="E195" t="s">
        <v>2161</v>
      </c>
      <c r="F195" t="s">
        <v>2358</v>
      </c>
      <c r="G195" t="s">
        <v>1250</v>
      </c>
      <c r="H195" t="s">
        <v>3823</v>
      </c>
      <c r="I195" t="s">
        <v>3251</v>
      </c>
      <c r="J195" t="s">
        <v>3251</v>
      </c>
      <c r="K195" t="s">
        <v>3251</v>
      </c>
      <c r="L195" t="s">
        <v>2667</v>
      </c>
      <c r="M195" s="1086">
        <v>0</v>
      </c>
      <c r="N195" s="1086">
        <v>0</v>
      </c>
      <c r="O195" s="1086">
        <v>130000</v>
      </c>
      <c r="P195" s="1086">
        <v>0</v>
      </c>
      <c r="Q195" s="1086">
        <v>0</v>
      </c>
      <c r="R195" s="1086">
        <v>0</v>
      </c>
      <c r="S195" s="1086">
        <v>0</v>
      </c>
      <c r="T195" s="1086">
        <v>0</v>
      </c>
      <c r="U195" s="1086">
        <v>60498.66</v>
      </c>
      <c r="V195" s="1086">
        <v>0</v>
      </c>
      <c r="W195" s="1086">
        <v>0</v>
      </c>
      <c r="X195" s="1086">
        <v>3667.26</v>
      </c>
      <c r="Y195" s="1086">
        <v>0</v>
      </c>
      <c r="Z195" s="1086">
        <v>0</v>
      </c>
      <c r="AA195" s="1086">
        <v>0</v>
      </c>
      <c r="AB195" s="1086">
        <v>0</v>
      </c>
      <c r="AC195" s="1086">
        <v>65834.080000000002</v>
      </c>
      <c r="AD195" s="1086" t="s">
        <v>248</v>
      </c>
      <c r="AE195" s="1086" t="s">
        <v>3877</v>
      </c>
      <c r="AF195" s="1086">
        <f t="shared" si="9"/>
        <v>65834.079999999987</v>
      </c>
      <c r="AG195" s="1086">
        <f t="shared" si="8"/>
        <v>0</v>
      </c>
      <c r="AQ195" s="1086">
        <v>0</v>
      </c>
      <c r="AR195" s="1086">
        <v>0</v>
      </c>
      <c r="AS195" s="1086">
        <v>65834.080000000002</v>
      </c>
      <c r="AT195" s="1086">
        <f t="shared" si="10"/>
        <v>0</v>
      </c>
      <c r="AV195" s="1150">
        <f t="shared" si="11"/>
        <v>64165.920000000006</v>
      </c>
    </row>
    <row r="196" spans="1:48" x14ac:dyDescent="0.2">
      <c r="A196" s="19">
        <v>194</v>
      </c>
      <c r="B196" t="s">
        <v>1497</v>
      </c>
      <c r="C196" t="s">
        <v>1290</v>
      </c>
      <c r="D196" t="s">
        <v>1038</v>
      </c>
      <c r="E196" t="s">
        <v>2162</v>
      </c>
      <c r="F196" t="s">
        <v>2359</v>
      </c>
      <c r="G196" t="s">
        <v>1250</v>
      </c>
      <c r="H196" t="s">
        <v>3824</v>
      </c>
      <c r="I196" t="s">
        <v>3839</v>
      </c>
      <c r="J196" t="s">
        <v>3321</v>
      </c>
      <c r="K196" t="s">
        <v>3429</v>
      </c>
      <c r="L196" t="s">
        <v>2668</v>
      </c>
      <c r="M196" s="1086">
        <v>33610.800000000003</v>
      </c>
      <c r="N196" s="1086">
        <v>232932</v>
      </c>
      <c r="O196" s="1086">
        <v>0</v>
      </c>
      <c r="P196" s="1086">
        <v>66001.02</v>
      </c>
      <c r="Q196" s="1086">
        <v>0</v>
      </c>
      <c r="R196" s="1086">
        <v>29169.39</v>
      </c>
      <c r="S196" s="1086">
        <v>330</v>
      </c>
      <c r="T196" s="1086">
        <v>31797.17</v>
      </c>
      <c r="U196" s="1086">
        <v>75276.27</v>
      </c>
      <c r="V196" s="1086">
        <v>0</v>
      </c>
      <c r="W196" s="1086">
        <v>0</v>
      </c>
      <c r="X196" s="1086">
        <v>3453.31</v>
      </c>
      <c r="Y196" s="1086">
        <v>0</v>
      </c>
      <c r="Z196" s="1086">
        <v>0</v>
      </c>
      <c r="AA196" s="1086">
        <v>8474.11</v>
      </c>
      <c r="AB196" s="1086">
        <v>0</v>
      </c>
      <c r="AC196" s="1086">
        <v>52041.53</v>
      </c>
      <c r="AD196" s="1086" t="s">
        <v>248</v>
      </c>
      <c r="AE196" s="1086" t="s">
        <v>3877</v>
      </c>
      <c r="AF196" s="1086">
        <f t="shared" si="9"/>
        <v>52041.52999999997</v>
      </c>
      <c r="AG196" s="1086">
        <f t="shared" si="8"/>
        <v>0</v>
      </c>
      <c r="AQ196" s="1086">
        <v>0</v>
      </c>
      <c r="AR196" s="1086">
        <v>0</v>
      </c>
      <c r="AS196" s="1086">
        <v>52041.53</v>
      </c>
      <c r="AT196" s="1086">
        <f t="shared" si="10"/>
        <v>0</v>
      </c>
      <c r="AV196" s="1150">
        <f t="shared" si="11"/>
        <v>214501.27000000002</v>
      </c>
    </row>
    <row r="197" spans="1:48" x14ac:dyDescent="0.2">
      <c r="A197" s="19">
        <v>195</v>
      </c>
      <c r="B197" t="s">
        <v>1498</v>
      </c>
      <c r="C197" t="s">
        <v>1290</v>
      </c>
      <c r="D197" t="s">
        <v>1027</v>
      </c>
      <c r="E197" t="s">
        <v>2163</v>
      </c>
      <c r="F197" t="s">
        <v>2360</v>
      </c>
      <c r="G197" t="s">
        <v>1254</v>
      </c>
      <c r="H197" t="s">
        <v>3823</v>
      </c>
      <c r="I197" t="s">
        <v>3839</v>
      </c>
      <c r="J197" t="s">
        <v>3246</v>
      </c>
      <c r="K197" t="s">
        <v>3430</v>
      </c>
      <c r="L197" t="s">
        <v>2669</v>
      </c>
      <c r="M197" s="1086">
        <v>105746.17</v>
      </c>
      <c r="N197" s="1086">
        <v>0</v>
      </c>
      <c r="O197" s="1086">
        <v>90000</v>
      </c>
      <c r="P197" s="1086">
        <v>85949.32</v>
      </c>
      <c r="Q197" s="1086">
        <v>0</v>
      </c>
      <c r="R197" s="1086">
        <v>0</v>
      </c>
      <c r="S197" s="1086">
        <v>7275.75</v>
      </c>
      <c r="T197" s="1086">
        <v>26221.14</v>
      </c>
      <c r="U197" s="1086">
        <v>40711.699999999997</v>
      </c>
      <c r="V197" s="1086">
        <v>0</v>
      </c>
      <c r="W197" s="1086">
        <v>0</v>
      </c>
      <c r="X197" s="1086">
        <v>6906.06</v>
      </c>
      <c r="Y197" s="1086">
        <v>-1250</v>
      </c>
      <c r="Z197" s="1086">
        <v>0</v>
      </c>
      <c r="AA197" s="1086">
        <v>14000</v>
      </c>
      <c r="AB197" s="1086">
        <v>0</v>
      </c>
      <c r="AC197" s="1086">
        <v>15932.2</v>
      </c>
      <c r="AD197" s="1086" t="s">
        <v>248</v>
      </c>
      <c r="AE197" s="1086" t="s">
        <v>3877</v>
      </c>
      <c r="AF197" s="1086">
        <f t="shared" si="9"/>
        <v>15932.199999999983</v>
      </c>
      <c r="AG197" s="1086">
        <f t="shared" ref="AG197:AG259" si="12">AC197-AF197</f>
        <v>1.8189894035458565E-11</v>
      </c>
      <c r="AQ197" s="1086">
        <v>0</v>
      </c>
      <c r="AR197" s="1086">
        <v>0</v>
      </c>
      <c r="AS197" s="1086">
        <v>15932.2</v>
      </c>
      <c r="AT197" s="1086">
        <f t="shared" si="10"/>
        <v>0</v>
      </c>
      <c r="AV197" s="1150">
        <f t="shared" si="11"/>
        <v>179813.97</v>
      </c>
    </row>
    <row r="198" spans="1:48" x14ac:dyDescent="0.2">
      <c r="A198" s="19">
        <v>196</v>
      </c>
      <c r="B198" t="s">
        <v>1499</v>
      </c>
      <c r="C198" t="s">
        <v>1290</v>
      </c>
      <c r="D198" t="s">
        <v>1027</v>
      </c>
      <c r="E198" t="s">
        <v>2163</v>
      </c>
      <c r="F198" t="s">
        <v>2360</v>
      </c>
      <c r="G198" t="s">
        <v>1254</v>
      </c>
      <c r="H198" t="s">
        <v>3825</v>
      </c>
      <c r="I198" t="s">
        <v>3839</v>
      </c>
      <c r="J198" t="s">
        <v>3246</v>
      </c>
      <c r="K198" t="s">
        <v>3431</v>
      </c>
      <c r="L198" t="s">
        <v>2670</v>
      </c>
      <c r="M198" s="1086">
        <v>7109.97</v>
      </c>
      <c r="N198" s="1086">
        <v>50</v>
      </c>
      <c r="O198" s="1086">
        <v>10000</v>
      </c>
      <c r="P198" s="1086">
        <v>0</v>
      </c>
      <c r="Q198" s="1086">
        <v>0</v>
      </c>
      <c r="R198" s="1086">
        <v>0</v>
      </c>
      <c r="S198" s="1086">
        <v>0</v>
      </c>
      <c r="T198" s="1086">
        <v>0</v>
      </c>
      <c r="U198" s="1086">
        <v>8550.15</v>
      </c>
      <c r="V198" s="1086">
        <v>0</v>
      </c>
      <c r="W198" s="1086">
        <v>0</v>
      </c>
      <c r="X198" s="1086">
        <v>3718.3</v>
      </c>
      <c r="Y198" s="1086">
        <v>0</v>
      </c>
      <c r="Z198" s="1086">
        <v>0</v>
      </c>
      <c r="AA198" s="1086">
        <v>1.75</v>
      </c>
      <c r="AB198" s="1086">
        <v>0</v>
      </c>
      <c r="AC198" s="1086">
        <v>4889.7700000000004</v>
      </c>
      <c r="AD198" s="1086" t="s">
        <v>248</v>
      </c>
      <c r="AE198" s="1086" t="s">
        <v>3877</v>
      </c>
      <c r="AF198" s="1086">
        <f t="shared" si="9"/>
        <v>4889.7700000000004</v>
      </c>
      <c r="AG198" s="1086">
        <f t="shared" si="12"/>
        <v>0</v>
      </c>
      <c r="AQ198" s="1086">
        <v>0</v>
      </c>
      <c r="AR198" s="1086">
        <v>0</v>
      </c>
      <c r="AS198" s="1086">
        <v>4889.7700000000004</v>
      </c>
      <c r="AT198" s="1086">
        <f t="shared" si="10"/>
        <v>0</v>
      </c>
      <c r="AV198" s="1150">
        <f t="shared" si="11"/>
        <v>12270.2</v>
      </c>
    </row>
    <row r="199" spans="1:48" x14ac:dyDescent="0.2">
      <c r="A199" s="19">
        <v>197</v>
      </c>
      <c r="B199" t="s">
        <v>1500</v>
      </c>
      <c r="C199" t="s">
        <v>1290</v>
      </c>
      <c r="D199" t="s">
        <v>1060</v>
      </c>
      <c r="E199" t="s">
        <v>2164</v>
      </c>
      <c r="F199" t="s">
        <v>2361</v>
      </c>
      <c r="G199" t="s">
        <v>1257</v>
      </c>
      <c r="H199" t="s">
        <v>3826</v>
      </c>
      <c r="I199" t="s">
        <v>3251</v>
      </c>
      <c r="J199" t="s">
        <v>3251</v>
      </c>
      <c r="K199" t="s">
        <v>3251</v>
      </c>
      <c r="L199" t="s">
        <v>2671</v>
      </c>
      <c r="M199" s="1086">
        <v>0</v>
      </c>
      <c r="N199" s="1086">
        <v>0</v>
      </c>
      <c r="O199" s="1086">
        <v>0</v>
      </c>
      <c r="P199" s="1086">
        <v>0</v>
      </c>
      <c r="Q199" s="1086">
        <v>0</v>
      </c>
      <c r="R199" s="1086">
        <v>0</v>
      </c>
      <c r="S199" s="1086">
        <v>0</v>
      </c>
      <c r="T199" s="1086">
        <v>0</v>
      </c>
      <c r="U199" s="1086">
        <v>0</v>
      </c>
      <c r="V199" s="1086">
        <v>0</v>
      </c>
      <c r="W199" s="1086">
        <v>0</v>
      </c>
      <c r="X199" s="1086">
        <v>0</v>
      </c>
      <c r="Y199" s="1086">
        <v>0</v>
      </c>
      <c r="Z199" s="1086">
        <v>0</v>
      </c>
      <c r="AA199" s="1086">
        <v>0</v>
      </c>
      <c r="AB199" s="1086">
        <v>0</v>
      </c>
      <c r="AC199" s="1086">
        <v>0</v>
      </c>
      <c r="AD199" s="1086" t="s">
        <v>248</v>
      </c>
      <c r="AE199" s="1086" t="s">
        <v>3877</v>
      </c>
      <c r="AF199" s="1086">
        <f t="shared" si="9"/>
        <v>0</v>
      </c>
      <c r="AG199" s="1086">
        <f t="shared" si="12"/>
        <v>0</v>
      </c>
      <c r="AQ199" s="1086">
        <v>0</v>
      </c>
      <c r="AR199" s="1086">
        <v>0</v>
      </c>
      <c r="AS199" s="1086">
        <v>0</v>
      </c>
      <c r="AT199" s="1086">
        <f t="shared" si="10"/>
        <v>0</v>
      </c>
      <c r="AV199" s="1150">
        <f t="shared" si="11"/>
        <v>0</v>
      </c>
    </row>
    <row r="200" spans="1:48" x14ac:dyDescent="0.2">
      <c r="A200" s="19">
        <v>198</v>
      </c>
      <c r="B200" t="s">
        <v>1501</v>
      </c>
      <c r="C200" t="s">
        <v>1290</v>
      </c>
      <c r="D200" t="s">
        <v>1044</v>
      </c>
      <c r="E200" t="s">
        <v>2165</v>
      </c>
      <c r="F200" t="s">
        <v>2362</v>
      </c>
      <c r="G200" t="s">
        <v>1250</v>
      </c>
      <c r="H200" t="s">
        <v>3823</v>
      </c>
      <c r="I200" t="s">
        <v>3839</v>
      </c>
      <c r="J200" t="s">
        <v>3417</v>
      </c>
      <c r="K200" t="s">
        <v>3432</v>
      </c>
      <c r="L200" t="s">
        <v>2672</v>
      </c>
      <c r="M200" s="1086">
        <v>303635.78000000003</v>
      </c>
      <c r="N200" s="1086">
        <v>0</v>
      </c>
      <c r="O200" s="1086">
        <v>30000</v>
      </c>
      <c r="P200" s="1086">
        <v>0</v>
      </c>
      <c r="Q200" s="1086">
        <v>0</v>
      </c>
      <c r="R200" s="1086">
        <v>0</v>
      </c>
      <c r="S200" s="1086">
        <v>0</v>
      </c>
      <c r="T200" s="1086">
        <v>0</v>
      </c>
      <c r="U200" s="1086">
        <v>26150.16</v>
      </c>
      <c r="V200" s="1086">
        <v>0</v>
      </c>
      <c r="W200" s="1086">
        <v>0</v>
      </c>
      <c r="X200" s="1086">
        <v>18368.849999999999</v>
      </c>
      <c r="Y200" s="1086">
        <v>0</v>
      </c>
      <c r="Z200" s="1086">
        <v>0</v>
      </c>
      <c r="AA200" s="1086">
        <v>0</v>
      </c>
      <c r="AB200" s="1086">
        <v>0</v>
      </c>
      <c r="AC200" s="1086">
        <v>289116.77</v>
      </c>
      <c r="AD200" s="1086" t="s">
        <v>248</v>
      </c>
      <c r="AE200" s="1086" t="s">
        <v>3877</v>
      </c>
      <c r="AF200" s="1086">
        <f t="shared" ref="AF200:AF263" si="13">M200+N200+O200-(SUM(P200:AB200))-AQ200-AR200</f>
        <v>289116.77</v>
      </c>
      <c r="AG200" s="1086">
        <f t="shared" si="12"/>
        <v>0</v>
      </c>
      <c r="AQ200" s="1086">
        <v>0</v>
      </c>
      <c r="AR200" s="1086">
        <v>0</v>
      </c>
      <c r="AS200" s="1086">
        <v>289116.77</v>
      </c>
      <c r="AT200" s="1086">
        <f t="shared" ref="AT200:AT263" si="14">AC200-AS200</f>
        <v>0</v>
      </c>
      <c r="AV200" s="1150">
        <f t="shared" si="11"/>
        <v>44519.009999999995</v>
      </c>
    </row>
    <row r="201" spans="1:48" x14ac:dyDescent="0.2">
      <c r="A201" s="19">
        <v>199</v>
      </c>
      <c r="B201" t="s">
        <v>1502</v>
      </c>
      <c r="C201" t="s">
        <v>1290</v>
      </c>
      <c r="D201" t="s">
        <v>1044</v>
      </c>
      <c r="E201" t="s">
        <v>2165</v>
      </c>
      <c r="F201" t="s">
        <v>2362</v>
      </c>
      <c r="G201" t="s">
        <v>1250</v>
      </c>
      <c r="H201" t="s">
        <v>3825</v>
      </c>
      <c r="I201" t="s">
        <v>3839</v>
      </c>
      <c r="J201" t="s">
        <v>3417</v>
      </c>
      <c r="K201" t="s">
        <v>3433</v>
      </c>
      <c r="L201" t="s">
        <v>2673</v>
      </c>
      <c r="M201" s="1086">
        <v>381870.84</v>
      </c>
      <c r="N201" s="1086">
        <v>9.49</v>
      </c>
      <c r="O201" s="1086">
        <v>2471703.34</v>
      </c>
      <c r="P201" s="1086">
        <v>915.33</v>
      </c>
      <c r="Q201" s="1086">
        <v>0</v>
      </c>
      <c r="R201" s="1086">
        <v>0</v>
      </c>
      <c r="S201" s="1086">
        <v>0</v>
      </c>
      <c r="T201" s="1086">
        <v>283.12</v>
      </c>
      <c r="U201" s="1086">
        <v>300779</v>
      </c>
      <c r="V201" s="1086">
        <v>0</v>
      </c>
      <c r="W201" s="1086">
        <v>16061.64</v>
      </c>
      <c r="X201" s="1086">
        <v>4744.1000000000004</v>
      </c>
      <c r="Y201" s="1086">
        <v>0</v>
      </c>
      <c r="Z201" s="1086">
        <v>0</v>
      </c>
      <c r="AA201" s="1086">
        <v>1850591.33</v>
      </c>
      <c r="AB201" s="1086">
        <v>0</v>
      </c>
      <c r="AC201" s="1086">
        <v>680209.15</v>
      </c>
      <c r="AD201" s="1086" t="s">
        <v>248</v>
      </c>
      <c r="AE201" s="1086" t="s">
        <v>3877</v>
      </c>
      <c r="AF201" s="1086">
        <f t="shared" si="13"/>
        <v>680209.14999999991</v>
      </c>
      <c r="AG201" s="1086">
        <f t="shared" si="12"/>
        <v>0</v>
      </c>
      <c r="AQ201" s="1086">
        <v>0</v>
      </c>
      <c r="AR201" s="1086">
        <v>0</v>
      </c>
      <c r="AS201" s="1086">
        <v>680209.15</v>
      </c>
      <c r="AT201" s="1086">
        <f t="shared" si="14"/>
        <v>0</v>
      </c>
      <c r="AV201" s="1150">
        <f t="shared" ref="AV201:AV264" si="15">SUM(P201:AB201)+AQ201+AR201</f>
        <v>2173374.52</v>
      </c>
    </row>
    <row r="202" spans="1:48" x14ac:dyDescent="0.2">
      <c r="A202" s="19">
        <v>200</v>
      </c>
      <c r="B202" t="s">
        <v>1412</v>
      </c>
      <c r="C202" t="s">
        <v>1290</v>
      </c>
      <c r="D202" t="s">
        <v>1005</v>
      </c>
      <c r="E202" t="s">
        <v>2166</v>
      </c>
      <c r="F202" t="s">
        <v>2363</v>
      </c>
      <c r="G202" t="s">
        <v>1250</v>
      </c>
      <c r="H202" t="s">
        <v>3823</v>
      </c>
      <c r="I202" t="s">
        <v>3839</v>
      </c>
      <c r="J202" t="s">
        <v>3355</v>
      </c>
      <c r="K202" t="s">
        <v>3356</v>
      </c>
      <c r="L202" t="s">
        <v>2583</v>
      </c>
      <c r="M202" s="1086">
        <v>274572.45</v>
      </c>
      <c r="N202" s="1086">
        <v>0</v>
      </c>
      <c r="O202" s="1086">
        <v>0</v>
      </c>
      <c r="P202" s="1086">
        <v>31974.27</v>
      </c>
      <c r="Q202" s="1086">
        <v>0</v>
      </c>
      <c r="R202" s="1086">
        <v>0</v>
      </c>
      <c r="S202" s="1086">
        <v>698.25</v>
      </c>
      <c r="T202" s="1086">
        <v>9912.9699999999993</v>
      </c>
      <c r="U202" s="1086">
        <v>12877.14</v>
      </c>
      <c r="V202" s="1086">
        <v>0</v>
      </c>
      <c r="W202" s="1086">
        <v>0</v>
      </c>
      <c r="X202" s="1086">
        <v>3165.51</v>
      </c>
      <c r="Y202" s="1086">
        <v>0</v>
      </c>
      <c r="Z202" s="1086">
        <v>0</v>
      </c>
      <c r="AA202" s="1086">
        <v>0</v>
      </c>
      <c r="AB202" s="1086">
        <v>0</v>
      </c>
      <c r="AC202" s="1086">
        <v>215944.31</v>
      </c>
      <c r="AD202" s="1086" t="s">
        <v>248</v>
      </c>
      <c r="AE202" s="1086" t="s">
        <v>3877</v>
      </c>
      <c r="AF202" s="1086">
        <f t="shared" si="13"/>
        <v>215944.31</v>
      </c>
      <c r="AG202" s="1086">
        <f t="shared" si="12"/>
        <v>0</v>
      </c>
      <c r="AQ202" s="1086">
        <v>0</v>
      </c>
      <c r="AR202" s="1086">
        <v>0</v>
      </c>
      <c r="AS202" s="1086">
        <v>215944.31</v>
      </c>
      <c r="AT202" s="1086">
        <f t="shared" si="14"/>
        <v>0</v>
      </c>
      <c r="AV202" s="1150">
        <f t="shared" si="15"/>
        <v>58628.14</v>
      </c>
    </row>
    <row r="203" spans="1:48" x14ac:dyDescent="0.2">
      <c r="A203" s="19">
        <v>201</v>
      </c>
      <c r="B203" t="s">
        <v>1503</v>
      </c>
      <c r="C203" t="s">
        <v>1290</v>
      </c>
      <c r="D203" t="s">
        <v>1005</v>
      </c>
      <c r="E203" t="s">
        <v>2166</v>
      </c>
      <c r="F203" t="s">
        <v>2363</v>
      </c>
      <c r="G203" t="s">
        <v>1250</v>
      </c>
      <c r="H203" t="s">
        <v>3825</v>
      </c>
      <c r="I203" t="s">
        <v>3839</v>
      </c>
      <c r="J203" t="s">
        <v>3355</v>
      </c>
      <c r="K203" t="s">
        <v>3434</v>
      </c>
      <c r="L203" t="s">
        <v>2674</v>
      </c>
      <c r="M203" s="1086">
        <v>298161.71000000002</v>
      </c>
      <c r="N203" s="1086">
        <v>12.36</v>
      </c>
      <c r="O203" s="1086">
        <v>27955</v>
      </c>
      <c r="P203" s="1086">
        <v>107374.7</v>
      </c>
      <c r="Q203" s="1086">
        <v>0</v>
      </c>
      <c r="R203" s="1086">
        <v>0</v>
      </c>
      <c r="S203" s="1086">
        <v>0</v>
      </c>
      <c r="T203" s="1086">
        <v>21892.76</v>
      </c>
      <c r="U203" s="1086">
        <v>9651.1299999999992</v>
      </c>
      <c r="V203" s="1086">
        <v>0</v>
      </c>
      <c r="W203" s="1086">
        <v>18104.45</v>
      </c>
      <c r="X203" s="1086">
        <v>1478.45</v>
      </c>
      <c r="Y203" s="1086">
        <v>0</v>
      </c>
      <c r="Z203" s="1086">
        <v>0</v>
      </c>
      <c r="AA203" s="1086">
        <v>50392.33</v>
      </c>
      <c r="AB203" s="1086">
        <v>0</v>
      </c>
      <c r="AC203" s="1086">
        <v>117235.25</v>
      </c>
      <c r="AD203" s="1086" t="s">
        <v>248</v>
      </c>
      <c r="AE203" s="1086" t="s">
        <v>3877</v>
      </c>
      <c r="AF203" s="1086">
        <f t="shared" si="13"/>
        <v>117235.25</v>
      </c>
      <c r="AG203" s="1086">
        <f t="shared" si="12"/>
        <v>0</v>
      </c>
      <c r="AQ203" s="1086">
        <v>0</v>
      </c>
      <c r="AR203" s="1086">
        <v>0</v>
      </c>
      <c r="AS203" s="1086">
        <v>117235.25</v>
      </c>
      <c r="AT203" s="1086">
        <f t="shared" si="14"/>
        <v>0</v>
      </c>
      <c r="AV203" s="1150">
        <f t="shared" si="15"/>
        <v>208893.82</v>
      </c>
    </row>
    <row r="204" spans="1:48" x14ac:dyDescent="0.2">
      <c r="A204" s="19">
        <v>202</v>
      </c>
      <c r="B204" t="s">
        <v>1504</v>
      </c>
      <c r="C204" t="s">
        <v>1290</v>
      </c>
      <c r="D204" t="s">
        <v>1005</v>
      </c>
      <c r="E204" t="s">
        <v>2166</v>
      </c>
      <c r="F204" t="s">
        <v>2363</v>
      </c>
      <c r="G204" t="s">
        <v>1250</v>
      </c>
      <c r="H204" t="s">
        <v>3825</v>
      </c>
      <c r="I204" t="s">
        <v>3839</v>
      </c>
      <c r="J204" t="s">
        <v>3355</v>
      </c>
      <c r="K204" t="s">
        <v>3435</v>
      </c>
      <c r="L204" t="s">
        <v>2675</v>
      </c>
      <c r="M204" s="1086">
        <v>109617.96</v>
      </c>
      <c r="N204" s="1086">
        <v>0</v>
      </c>
      <c r="O204" s="1086">
        <v>0</v>
      </c>
      <c r="P204" s="1086">
        <v>0</v>
      </c>
      <c r="Q204" s="1086">
        <v>0</v>
      </c>
      <c r="R204" s="1086">
        <v>0</v>
      </c>
      <c r="S204" s="1086">
        <v>7098.1</v>
      </c>
      <c r="T204" s="1086">
        <v>185.2</v>
      </c>
      <c r="U204" s="1086">
        <v>71307.289999999994</v>
      </c>
      <c r="V204" s="1086">
        <v>0</v>
      </c>
      <c r="W204" s="1086">
        <v>0</v>
      </c>
      <c r="X204" s="1086">
        <v>0</v>
      </c>
      <c r="Y204" s="1086">
        <v>-95842.01</v>
      </c>
      <c r="Z204" s="1086">
        <v>0</v>
      </c>
      <c r="AA204" s="1086">
        <v>0</v>
      </c>
      <c r="AB204" s="1086">
        <v>0</v>
      </c>
      <c r="AC204" s="1086">
        <v>126869.38</v>
      </c>
      <c r="AD204" s="1086" t="s">
        <v>248</v>
      </c>
      <c r="AE204" s="1086" t="s">
        <v>3877</v>
      </c>
      <c r="AF204" s="1086">
        <f t="shared" si="13"/>
        <v>126869.38</v>
      </c>
      <c r="AG204" s="1086">
        <f t="shared" si="12"/>
        <v>0</v>
      </c>
      <c r="AQ204" s="1086">
        <v>0</v>
      </c>
      <c r="AR204" s="1086">
        <v>0</v>
      </c>
      <c r="AS204" s="1086">
        <v>126869.38</v>
      </c>
      <c r="AT204" s="1086">
        <f t="shared" si="14"/>
        <v>0</v>
      </c>
      <c r="AV204" s="1150">
        <f t="shared" si="15"/>
        <v>-17251.419999999998</v>
      </c>
    </row>
    <row r="205" spans="1:48" x14ac:dyDescent="0.2">
      <c r="A205" s="19">
        <v>203</v>
      </c>
      <c r="B205" t="s">
        <v>1505</v>
      </c>
      <c r="C205" t="s">
        <v>1290</v>
      </c>
      <c r="D205" t="s">
        <v>1005</v>
      </c>
      <c r="E205" t="s">
        <v>2166</v>
      </c>
      <c r="F205" t="s">
        <v>2363</v>
      </c>
      <c r="G205" t="s">
        <v>1250</v>
      </c>
      <c r="H205" t="s">
        <v>3823</v>
      </c>
      <c r="I205" t="s">
        <v>3839</v>
      </c>
      <c r="J205" t="s">
        <v>3355</v>
      </c>
      <c r="K205" t="s">
        <v>3436</v>
      </c>
      <c r="L205" t="s">
        <v>2676</v>
      </c>
      <c r="M205" s="1086">
        <v>75025.56</v>
      </c>
      <c r="N205" s="1086">
        <v>0</v>
      </c>
      <c r="O205" s="1086">
        <v>0</v>
      </c>
      <c r="P205" s="1086">
        <v>0</v>
      </c>
      <c r="Q205" s="1086">
        <v>1800</v>
      </c>
      <c r="R205" s="1086">
        <v>0</v>
      </c>
      <c r="S205" s="1086">
        <v>0</v>
      </c>
      <c r="T205" s="1086">
        <v>774.99</v>
      </c>
      <c r="U205" s="1086">
        <v>4043.49</v>
      </c>
      <c r="V205" s="1086">
        <v>0</v>
      </c>
      <c r="W205" s="1086">
        <v>0</v>
      </c>
      <c r="X205" s="1086">
        <v>0</v>
      </c>
      <c r="Y205" s="1086">
        <v>0</v>
      </c>
      <c r="Z205" s="1086">
        <v>0</v>
      </c>
      <c r="AA205" s="1086">
        <v>0</v>
      </c>
      <c r="AB205" s="1086">
        <v>0</v>
      </c>
      <c r="AC205" s="1086">
        <v>68407.08</v>
      </c>
      <c r="AD205" s="1086" t="s">
        <v>248</v>
      </c>
      <c r="AE205" s="1086" t="s">
        <v>3877</v>
      </c>
      <c r="AF205" s="1086">
        <f t="shared" si="13"/>
        <v>68407.08</v>
      </c>
      <c r="AG205" s="1086">
        <f t="shared" si="12"/>
        <v>0</v>
      </c>
      <c r="AQ205" s="1086">
        <v>0</v>
      </c>
      <c r="AR205" s="1086">
        <v>0</v>
      </c>
      <c r="AS205" s="1086">
        <v>68407.08</v>
      </c>
      <c r="AT205" s="1086">
        <f t="shared" si="14"/>
        <v>0</v>
      </c>
      <c r="AV205" s="1150">
        <f t="shared" si="15"/>
        <v>6618.48</v>
      </c>
    </row>
    <row r="206" spans="1:48" x14ac:dyDescent="0.2">
      <c r="A206" s="19">
        <v>204</v>
      </c>
      <c r="B206" t="s">
        <v>1506</v>
      </c>
      <c r="C206" t="s">
        <v>1290</v>
      </c>
      <c r="D206" t="s">
        <v>1005</v>
      </c>
      <c r="E206" t="s">
        <v>2166</v>
      </c>
      <c r="F206" t="s">
        <v>2363</v>
      </c>
      <c r="G206" t="s">
        <v>1250</v>
      </c>
      <c r="H206" t="s">
        <v>3823</v>
      </c>
      <c r="I206" t="s">
        <v>3839</v>
      </c>
      <c r="J206" t="s">
        <v>3355</v>
      </c>
      <c r="K206" t="s">
        <v>3437</v>
      </c>
      <c r="L206" t="s">
        <v>2677</v>
      </c>
      <c r="M206" s="1086">
        <v>94551.55</v>
      </c>
      <c r="N206" s="1086">
        <v>0</v>
      </c>
      <c r="O206" s="1086">
        <v>0</v>
      </c>
      <c r="P206" s="1086">
        <v>19248</v>
      </c>
      <c r="Q206" s="1086">
        <v>0</v>
      </c>
      <c r="R206" s="1086">
        <v>0</v>
      </c>
      <c r="S206" s="1086">
        <v>0</v>
      </c>
      <c r="T206" s="1086">
        <v>3053.58</v>
      </c>
      <c r="U206" s="1086">
        <v>571.24</v>
      </c>
      <c r="V206" s="1086">
        <v>0</v>
      </c>
      <c r="W206" s="1086">
        <v>0</v>
      </c>
      <c r="X206" s="1086">
        <v>0</v>
      </c>
      <c r="Y206" s="1086">
        <v>0</v>
      </c>
      <c r="Z206" s="1086">
        <v>0</v>
      </c>
      <c r="AA206" s="1086">
        <v>0</v>
      </c>
      <c r="AB206" s="1086">
        <v>0</v>
      </c>
      <c r="AC206" s="1086">
        <v>71678.73</v>
      </c>
      <c r="AD206" s="1086" t="s">
        <v>248</v>
      </c>
      <c r="AE206" s="1086" t="s">
        <v>3877</v>
      </c>
      <c r="AF206" s="1086">
        <f t="shared" si="13"/>
        <v>71678.73</v>
      </c>
      <c r="AG206" s="1086">
        <f t="shared" si="12"/>
        <v>0</v>
      </c>
      <c r="AQ206" s="1086">
        <v>0</v>
      </c>
      <c r="AR206" s="1086">
        <v>0</v>
      </c>
      <c r="AS206" s="1086">
        <v>71678.73</v>
      </c>
      <c r="AT206" s="1086">
        <f t="shared" si="14"/>
        <v>0</v>
      </c>
      <c r="AV206" s="1150">
        <f t="shared" si="15"/>
        <v>22872.820000000003</v>
      </c>
    </row>
    <row r="207" spans="1:48" x14ac:dyDescent="0.2">
      <c r="A207" s="19">
        <v>205</v>
      </c>
      <c r="B207" t="s">
        <v>1507</v>
      </c>
      <c r="C207" t="s">
        <v>1290</v>
      </c>
      <c r="D207" t="s">
        <v>1005</v>
      </c>
      <c r="E207" t="s">
        <v>2166</v>
      </c>
      <c r="F207" t="s">
        <v>2363</v>
      </c>
      <c r="G207" t="s">
        <v>1250</v>
      </c>
      <c r="H207" t="s">
        <v>3823</v>
      </c>
      <c r="I207" t="s">
        <v>3839</v>
      </c>
      <c r="J207" t="s">
        <v>3355</v>
      </c>
      <c r="K207" t="s">
        <v>3438</v>
      </c>
      <c r="L207" t="s">
        <v>2678</v>
      </c>
      <c r="M207" s="1086">
        <v>63729.91</v>
      </c>
      <c r="N207" s="1086">
        <v>0</v>
      </c>
      <c r="O207" s="1086">
        <v>20000</v>
      </c>
      <c r="P207" s="1086">
        <v>3821.74</v>
      </c>
      <c r="Q207" s="1086">
        <v>0</v>
      </c>
      <c r="R207" s="1086">
        <v>0</v>
      </c>
      <c r="S207" s="1086">
        <v>0</v>
      </c>
      <c r="T207" s="1086">
        <v>118.11</v>
      </c>
      <c r="U207" s="1086">
        <v>5726.83</v>
      </c>
      <c r="V207" s="1086">
        <v>0</v>
      </c>
      <c r="W207" s="1086">
        <v>0</v>
      </c>
      <c r="X207" s="1086">
        <v>1639</v>
      </c>
      <c r="Y207" s="1086">
        <v>0</v>
      </c>
      <c r="Z207" s="1086">
        <v>0</v>
      </c>
      <c r="AA207" s="1086">
        <v>506.9</v>
      </c>
      <c r="AB207" s="1086">
        <v>0</v>
      </c>
      <c r="AC207" s="1086">
        <v>71917.33</v>
      </c>
      <c r="AD207" s="1086" t="s">
        <v>248</v>
      </c>
      <c r="AE207" s="1086" t="s">
        <v>3877</v>
      </c>
      <c r="AF207" s="1086">
        <f t="shared" si="13"/>
        <v>71917.33</v>
      </c>
      <c r="AG207" s="1086">
        <f t="shared" si="12"/>
        <v>0</v>
      </c>
      <c r="AQ207" s="1086">
        <v>0</v>
      </c>
      <c r="AR207" s="1086">
        <v>0</v>
      </c>
      <c r="AS207" s="1086">
        <v>71917.33</v>
      </c>
      <c r="AT207" s="1086">
        <f t="shared" si="14"/>
        <v>0</v>
      </c>
      <c r="AV207" s="1150">
        <f t="shared" si="15"/>
        <v>11812.58</v>
      </c>
    </row>
    <row r="208" spans="1:48" x14ac:dyDescent="0.2">
      <c r="A208" s="19">
        <v>206</v>
      </c>
      <c r="B208" t="s">
        <v>1508</v>
      </c>
      <c r="C208" t="s">
        <v>1290</v>
      </c>
      <c r="D208" t="s">
        <v>1005</v>
      </c>
      <c r="E208" t="s">
        <v>2166</v>
      </c>
      <c r="F208" t="s">
        <v>2363</v>
      </c>
      <c r="G208" t="s">
        <v>1250</v>
      </c>
      <c r="H208" t="s">
        <v>3823</v>
      </c>
      <c r="I208" t="s">
        <v>3839</v>
      </c>
      <c r="J208" t="s">
        <v>3355</v>
      </c>
      <c r="K208" t="s">
        <v>3439</v>
      </c>
      <c r="L208" t="s">
        <v>2679</v>
      </c>
      <c r="M208" s="1086">
        <v>123183.13</v>
      </c>
      <c r="N208" s="1086">
        <v>0</v>
      </c>
      <c r="O208" s="1086">
        <v>0</v>
      </c>
      <c r="P208" s="1086">
        <v>0</v>
      </c>
      <c r="Q208" s="1086">
        <v>18000</v>
      </c>
      <c r="R208" s="1086">
        <v>0</v>
      </c>
      <c r="S208" s="1086">
        <v>0</v>
      </c>
      <c r="T208" s="1086">
        <v>9494.6200000000008</v>
      </c>
      <c r="U208" s="1086">
        <v>8419.08</v>
      </c>
      <c r="V208" s="1086">
        <v>0</v>
      </c>
      <c r="W208" s="1086">
        <v>0</v>
      </c>
      <c r="X208" s="1086">
        <v>224.96</v>
      </c>
      <c r="Y208" s="1086">
        <v>0</v>
      </c>
      <c r="Z208" s="1086">
        <v>0</v>
      </c>
      <c r="AA208" s="1086">
        <v>0</v>
      </c>
      <c r="AB208" s="1086">
        <v>0</v>
      </c>
      <c r="AC208" s="1086">
        <v>87044.47</v>
      </c>
      <c r="AD208" s="1086" t="s">
        <v>248</v>
      </c>
      <c r="AE208" s="1086" t="s">
        <v>3877</v>
      </c>
      <c r="AF208" s="1086">
        <f t="shared" si="13"/>
        <v>87044.47</v>
      </c>
      <c r="AG208" s="1086">
        <f t="shared" si="12"/>
        <v>0</v>
      </c>
      <c r="AQ208" s="1086">
        <v>0</v>
      </c>
      <c r="AR208" s="1086">
        <v>0</v>
      </c>
      <c r="AS208" s="1086">
        <v>87044.47</v>
      </c>
      <c r="AT208" s="1086">
        <f t="shared" si="14"/>
        <v>0</v>
      </c>
      <c r="AV208" s="1150">
        <f t="shared" si="15"/>
        <v>36138.660000000003</v>
      </c>
    </row>
    <row r="209" spans="1:48" x14ac:dyDescent="0.2">
      <c r="A209" s="19">
        <v>207</v>
      </c>
      <c r="B209" t="s">
        <v>1509</v>
      </c>
      <c r="C209" t="s">
        <v>1290</v>
      </c>
      <c r="D209" t="s">
        <v>1005</v>
      </c>
      <c r="E209" t="s">
        <v>2166</v>
      </c>
      <c r="F209" t="s">
        <v>2363</v>
      </c>
      <c r="G209" t="s">
        <v>1250</v>
      </c>
      <c r="H209" t="s">
        <v>3823</v>
      </c>
      <c r="I209" t="s">
        <v>3839</v>
      </c>
      <c r="J209" t="s">
        <v>3355</v>
      </c>
      <c r="K209" t="s">
        <v>3440</v>
      </c>
      <c r="L209" t="s">
        <v>2680</v>
      </c>
      <c r="M209" s="1086">
        <v>68276.44</v>
      </c>
      <c r="N209" s="1086">
        <v>57.73</v>
      </c>
      <c r="O209" s="1086">
        <v>0</v>
      </c>
      <c r="P209" s="1086">
        <v>0</v>
      </c>
      <c r="Q209" s="1086">
        <v>0</v>
      </c>
      <c r="R209" s="1086">
        <v>0</v>
      </c>
      <c r="S209" s="1086">
        <v>0</v>
      </c>
      <c r="T209" s="1086">
        <v>0</v>
      </c>
      <c r="U209" s="1086">
        <v>-1107.8499999999999</v>
      </c>
      <c r="V209" s="1086">
        <v>0</v>
      </c>
      <c r="W209" s="1086">
        <v>0</v>
      </c>
      <c r="X209" s="1086">
        <v>-1451.05</v>
      </c>
      <c r="Y209" s="1086">
        <v>0</v>
      </c>
      <c r="Z209" s="1086">
        <v>0</v>
      </c>
      <c r="AA209" s="1086">
        <v>2.08</v>
      </c>
      <c r="AB209" s="1086">
        <v>0</v>
      </c>
      <c r="AC209" s="1086">
        <v>70890.990000000005</v>
      </c>
      <c r="AD209" s="1086" t="s">
        <v>248</v>
      </c>
      <c r="AE209" s="1086" t="s">
        <v>3877</v>
      </c>
      <c r="AF209" s="1086">
        <f t="shared" si="13"/>
        <v>70890.989999999991</v>
      </c>
      <c r="AG209" s="1086">
        <f t="shared" si="12"/>
        <v>0</v>
      </c>
      <c r="AQ209" s="1086">
        <v>0</v>
      </c>
      <c r="AR209" s="1086">
        <v>0</v>
      </c>
      <c r="AS209" s="1086">
        <v>70890.990000000005</v>
      </c>
      <c r="AT209" s="1086">
        <f t="shared" si="14"/>
        <v>0</v>
      </c>
      <c r="AV209" s="1150">
        <f t="shared" si="15"/>
        <v>-2556.8199999999997</v>
      </c>
    </row>
    <row r="210" spans="1:48" x14ac:dyDescent="0.2">
      <c r="A210" s="19">
        <v>208</v>
      </c>
      <c r="B210" t="s">
        <v>1510</v>
      </c>
      <c r="C210" t="s">
        <v>1290</v>
      </c>
      <c r="D210" t="s">
        <v>1005</v>
      </c>
      <c r="E210" t="s">
        <v>2166</v>
      </c>
      <c r="F210" t="s">
        <v>2363</v>
      </c>
      <c r="G210" t="s">
        <v>1250</v>
      </c>
      <c r="H210" t="s">
        <v>3823</v>
      </c>
      <c r="I210" t="s">
        <v>3839</v>
      </c>
      <c r="J210" t="s">
        <v>3355</v>
      </c>
      <c r="K210" t="s">
        <v>3441</v>
      </c>
      <c r="L210" t="s">
        <v>2681</v>
      </c>
      <c r="M210" s="1086">
        <v>22985.85</v>
      </c>
      <c r="N210" s="1086">
        <v>0</v>
      </c>
      <c r="O210" s="1086">
        <v>0</v>
      </c>
      <c r="P210" s="1086">
        <v>0</v>
      </c>
      <c r="Q210" s="1086">
        <v>0</v>
      </c>
      <c r="R210" s="1086">
        <v>0</v>
      </c>
      <c r="S210" s="1086">
        <v>0</v>
      </c>
      <c r="T210" s="1086">
        <v>0</v>
      </c>
      <c r="U210" s="1086">
        <v>6606.7</v>
      </c>
      <c r="V210" s="1086">
        <v>0</v>
      </c>
      <c r="W210" s="1086">
        <v>0</v>
      </c>
      <c r="X210" s="1086">
        <v>0</v>
      </c>
      <c r="Y210" s="1086">
        <v>-750</v>
      </c>
      <c r="Z210" s="1086">
        <v>0</v>
      </c>
      <c r="AA210" s="1086">
        <v>0</v>
      </c>
      <c r="AB210" s="1086">
        <v>0</v>
      </c>
      <c r="AC210" s="1086">
        <v>17129.150000000001</v>
      </c>
      <c r="AD210" s="1086" t="s">
        <v>248</v>
      </c>
      <c r="AE210" s="1086" t="s">
        <v>3877</v>
      </c>
      <c r="AF210" s="1086">
        <f t="shared" si="13"/>
        <v>17129.149999999998</v>
      </c>
      <c r="AG210" s="1086">
        <f t="shared" si="12"/>
        <v>0</v>
      </c>
      <c r="AQ210" s="1086">
        <v>0</v>
      </c>
      <c r="AR210" s="1086">
        <v>0</v>
      </c>
      <c r="AS210" s="1086">
        <v>17129.150000000001</v>
      </c>
      <c r="AT210" s="1086">
        <f t="shared" si="14"/>
        <v>0</v>
      </c>
      <c r="AV210" s="1150">
        <f t="shared" si="15"/>
        <v>5856.7</v>
      </c>
    </row>
    <row r="211" spans="1:48" x14ac:dyDescent="0.2">
      <c r="A211" s="19">
        <v>209</v>
      </c>
      <c r="B211" t="s">
        <v>1511</v>
      </c>
      <c r="C211" t="s">
        <v>1290</v>
      </c>
      <c r="D211" t="s">
        <v>1005</v>
      </c>
      <c r="E211" t="s">
        <v>2166</v>
      </c>
      <c r="F211" t="s">
        <v>2363</v>
      </c>
      <c r="G211" t="s">
        <v>1250</v>
      </c>
      <c r="H211" t="s">
        <v>3823</v>
      </c>
      <c r="I211" t="s">
        <v>3839</v>
      </c>
      <c r="J211" t="s">
        <v>3355</v>
      </c>
      <c r="K211" t="s">
        <v>3442</v>
      </c>
      <c r="L211" t="s">
        <v>2682</v>
      </c>
      <c r="M211" s="1086">
        <v>21561.5</v>
      </c>
      <c r="N211" s="1086">
        <v>0</v>
      </c>
      <c r="O211" s="1086">
        <v>0</v>
      </c>
      <c r="P211" s="1086">
        <v>0</v>
      </c>
      <c r="Q211" s="1086">
        <v>0</v>
      </c>
      <c r="R211" s="1086">
        <v>0</v>
      </c>
      <c r="S211" s="1086">
        <v>0</v>
      </c>
      <c r="T211" s="1086">
        <v>0</v>
      </c>
      <c r="U211" s="1086">
        <v>2287.4</v>
      </c>
      <c r="V211" s="1086">
        <v>0</v>
      </c>
      <c r="W211" s="1086">
        <v>0</v>
      </c>
      <c r="X211" s="1086">
        <v>204.44</v>
      </c>
      <c r="Y211" s="1086">
        <v>0</v>
      </c>
      <c r="Z211" s="1086">
        <v>0</v>
      </c>
      <c r="AA211" s="1086">
        <v>0</v>
      </c>
      <c r="AB211" s="1086">
        <v>0</v>
      </c>
      <c r="AC211" s="1086">
        <v>19069.66</v>
      </c>
      <c r="AD211" s="1086" t="s">
        <v>248</v>
      </c>
      <c r="AE211" s="1086" t="s">
        <v>3877</v>
      </c>
      <c r="AF211" s="1086">
        <f t="shared" si="13"/>
        <v>19069.66</v>
      </c>
      <c r="AG211" s="1086">
        <f t="shared" si="12"/>
        <v>0</v>
      </c>
      <c r="AQ211" s="1086">
        <v>0</v>
      </c>
      <c r="AR211" s="1086">
        <v>0</v>
      </c>
      <c r="AS211" s="1086">
        <v>19069.66</v>
      </c>
      <c r="AT211" s="1086">
        <f t="shared" si="14"/>
        <v>0</v>
      </c>
      <c r="AV211" s="1150">
        <f t="shared" si="15"/>
        <v>2491.84</v>
      </c>
    </row>
    <row r="212" spans="1:48" x14ac:dyDescent="0.2">
      <c r="A212" s="19">
        <v>210</v>
      </c>
      <c r="B212" t="s">
        <v>1512</v>
      </c>
      <c r="C212" t="s">
        <v>1290</v>
      </c>
      <c r="D212" t="s">
        <v>1005</v>
      </c>
      <c r="E212" t="s">
        <v>2166</v>
      </c>
      <c r="F212" t="s">
        <v>2363</v>
      </c>
      <c r="G212" t="s">
        <v>1250</v>
      </c>
      <c r="H212" t="s">
        <v>3823</v>
      </c>
      <c r="I212">
        <v>0</v>
      </c>
      <c r="L212" t="s">
        <v>2683</v>
      </c>
      <c r="M212" s="1086">
        <v>645.74</v>
      </c>
      <c r="N212" s="1086">
        <v>0</v>
      </c>
      <c r="O212" s="1086">
        <v>0</v>
      </c>
      <c r="P212" s="1086">
        <v>0</v>
      </c>
      <c r="Q212" s="1086">
        <v>0</v>
      </c>
      <c r="R212" s="1086">
        <v>0</v>
      </c>
      <c r="S212" s="1086">
        <v>0</v>
      </c>
      <c r="T212" s="1086">
        <v>0</v>
      </c>
      <c r="U212" s="1086">
        <v>645.74</v>
      </c>
      <c r="V212" s="1086">
        <v>0</v>
      </c>
      <c r="W212" s="1086">
        <v>0</v>
      </c>
      <c r="X212" s="1086">
        <v>0</v>
      </c>
      <c r="Y212" s="1086">
        <v>0</v>
      </c>
      <c r="Z212" s="1086">
        <v>0</v>
      </c>
      <c r="AA212" s="1086">
        <v>0</v>
      </c>
      <c r="AB212" s="1086">
        <v>0</v>
      </c>
      <c r="AC212" s="1086">
        <v>0</v>
      </c>
      <c r="AD212" s="1086" t="s">
        <v>248</v>
      </c>
      <c r="AE212" s="1086" t="s">
        <v>3877</v>
      </c>
      <c r="AF212" s="1086">
        <f t="shared" si="13"/>
        <v>0</v>
      </c>
      <c r="AG212" s="1086">
        <f t="shared" si="12"/>
        <v>0</v>
      </c>
      <c r="AQ212" s="1086">
        <v>0</v>
      </c>
      <c r="AR212" s="1086">
        <v>0</v>
      </c>
      <c r="AS212" s="1086">
        <v>0</v>
      </c>
      <c r="AT212" s="1086">
        <f t="shared" si="14"/>
        <v>0</v>
      </c>
      <c r="AV212" s="1150">
        <f t="shared" si="15"/>
        <v>645.74</v>
      </c>
    </row>
    <row r="213" spans="1:48" x14ac:dyDescent="0.2">
      <c r="A213" s="19">
        <v>211</v>
      </c>
      <c r="B213" t="s">
        <v>1513</v>
      </c>
      <c r="C213" t="s">
        <v>1290</v>
      </c>
      <c r="D213" t="s">
        <v>1005</v>
      </c>
      <c r="E213" t="s">
        <v>2166</v>
      </c>
      <c r="F213" t="s">
        <v>2363</v>
      </c>
      <c r="G213" t="s">
        <v>1250</v>
      </c>
      <c r="H213" t="s">
        <v>3823</v>
      </c>
      <c r="I213" t="s">
        <v>3839</v>
      </c>
      <c r="J213" t="s">
        <v>3355</v>
      </c>
      <c r="K213" t="s">
        <v>3443</v>
      </c>
      <c r="L213" t="s">
        <v>2684</v>
      </c>
      <c r="M213" s="1086">
        <v>165643.85</v>
      </c>
      <c r="N213" s="1086">
        <v>0</v>
      </c>
      <c r="O213" s="1086">
        <v>133334</v>
      </c>
      <c r="P213" s="1086">
        <v>26387.65</v>
      </c>
      <c r="Q213" s="1086">
        <v>10000</v>
      </c>
      <c r="R213" s="1086">
        <v>0</v>
      </c>
      <c r="S213" s="1086">
        <v>0</v>
      </c>
      <c r="T213" s="1086">
        <v>17818.62</v>
      </c>
      <c r="U213" s="1086">
        <v>6090.29</v>
      </c>
      <c r="V213" s="1086">
        <v>0</v>
      </c>
      <c r="W213" s="1086">
        <v>0</v>
      </c>
      <c r="X213" s="1086">
        <v>3409.96</v>
      </c>
      <c r="Y213" s="1086">
        <v>0</v>
      </c>
      <c r="Z213" s="1086">
        <v>0</v>
      </c>
      <c r="AA213" s="1086">
        <v>0</v>
      </c>
      <c r="AB213" s="1086">
        <v>0</v>
      </c>
      <c r="AC213" s="1086">
        <v>235271.33</v>
      </c>
      <c r="AD213" s="1086" t="s">
        <v>248</v>
      </c>
      <c r="AE213" s="1086" t="s">
        <v>3877</v>
      </c>
      <c r="AF213" s="1086">
        <f t="shared" si="13"/>
        <v>235271.32999999996</v>
      </c>
      <c r="AG213" s="1086">
        <f t="shared" si="12"/>
        <v>0</v>
      </c>
      <c r="AQ213" s="1086">
        <v>0</v>
      </c>
      <c r="AR213" s="1086">
        <v>0</v>
      </c>
      <c r="AS213" s="1086">
        <v>235271.33</v>
      </c>
      <c r="AT213" s="1086">
        <f t="shared" si="14"/>
        <v>0</v>
      </c>
      <c r="AV213" s="1150">
        <f t="shared" si="15"/>
        <v>63706.520000000004</v>
      </c>
    </row>
    <row r="214" spans="1:48" x14ac:dyDescent="0.2">
      <c r="A214" s="19">
        <v>212</v>
      </c>
      <c r="B214" t="s">
        <v>1514</v>
      </c>
      <c r="C214" t="s">
        <v>1290</v>
      </c>
      <c r="D214" t="s">
        <v>1005</v>
      </c>
      <c r="E214" t="s">
        <v>2166</v>
      </c>
      <c r="F214" t="s">
        <v>2363</v>
      </c>
      <c r="G214" t="s">
        <v>1250</v>
      </c>
      <c r="H214" t="s">
        <v>3823</v>
      </c>
      <c r="I214" t="s">
        <v>3839</v>
      </c>
      <c r="J214" t="s">
        <v>3355</v>
      </c>
      <c r="K214" t="s">
        <v>3444</v>
      </c>
      <c r="L214" t="s">
        <v>2685</v>
      </c>
      <c r="M214" s="1086">
        <v>177872.94</v>
      </c>
      <c r="N214" s="1086">
        <v>0</v>
      </c>
      <c r="O214" s="1086">
        <v>176666</v>
      </c>
      <c r="P214" s="1086">
        <v>55973.14</v>
      </c>
      <c r="Q214" s="1086">
        <v>0</v>
      </c>
      <c r="R214" s="1086">
        <v>0</v>
      </c>
      <c r="S214" s="1086">
        <v>2440.8000000000002</v>
      </c>
      <c r="T214" s="1086">
        <v>14093.01</v>
      </c>
      <c r="U214" s="1086">
        <v>54421.77</v>
      </c>
      <c r="V214" s="1086">
        <v>0</v>
      </c>
      <c r="W214" s="1086">
        <v>0</v>
      </c>
      <c r="X214" s="1086">
        <v>4065.52</v>
      </c>
      <c r="Y214" s="1086">
        <v>0</v>
      </c>
      <c r="Z214" s="1086">
        <v>0</v>
      </c>
      <c r="AA214" s="1086">
        <v>0</v>
      </c>
      <c r="AB214" s="1086">
        <v>0</v>
      </c>
      <c r="AC214" s="1086">
        <v>223544.7</v>
      </c>
      <c r="AD214" s="1086" t="s">
        <v>248</v>
      </c>
      <c r="AE214" s="1086" t="s">
        <v>3877</v>
      </c>
      <c r="AF214" s="1086">
        <f t="shared" si="13"/>
        <v>223544.7</v>
      </c>
      <c r="AG214" s="1086">
        <f t="shared" si="12"/>
        <v>0</v>
      </c>
      <c r="AQ214" s="1086">
        <v>0</v>
      </c>
      <c r="AR214" s="1086">
        <v>0</v>
      </c>
      <c r="AS214" s="1086">
        <v>223544.7</v>
      </c>
      <c r="AT214" s="1086">
        <f t="shared" si="14"/>
        <v>0</v>
      </c>
      <c r="AV214" s="1150">
        <f t="shared" si="15"/>
        <v>130994.24000000001</v>
      </c>
    </row>
    <row r="215" spans="1:48" x14ac:dyDescent="0.2">
      <c r="A215" s="19">
        <v>213</v>
      </c>
      <c r="B215" t="s">
        <v>1515</v>
      </c>
      <c r="C215" t="s">
        <v>1290</v>
      </c>
      <c r="D215" t="s">
        <v>1005</v>
      </c>
      <c r="E215" t="s">
        <v>2166</v>
      </c>
      <c r="F215" t="s">
        <v>2363</v>
      </c>
      <c r="G215" t="s">
        <v>1250</v>
      </c>
      <c r="H215" t="s">
        <v>3823</v>
      </c>
      <c r="I215" t="s">
        <v>3839</v>
      </c>
      <c r="J215" t="s">
        <v>3355</v>
      </c>
      <c r="K215" t="s">
        <v>3445</v>
      </c>
      <c r="L215" t="s">
        <v>2686</v>
      </c>
      <c r="M215" s="1086">
        <v>301003.98</v>
      </c>
      <c r="N215" s="1086">
        <v>28843.17</v>
      </c>
      <c r="O215" s="1086">
        <v>506.9</v>
      </c>
      <c r="P215" s="1086">
        <v>1011.61</v>
      </c>
      <c r="Q215" s="1086">
        <v>0</v>
      </c>
      <c r="R215" s="1086">
        <v>0</v>
      </c>
      <c r="S215" s="1086">
        <v>0</v>
      </c>
      <c r="T215" s="1086">
        <v>231.74</v>
      </c>
      <c r="U215" s="1086">
        <v>34000.67</v>
      </c>
      <c r="V215" s="1086">
        <v>0</v>
      </c>
      <c r="W215" s="1086">
        <v>0</v>
      </c>
      <c r="X215" s="1086">
        <v>1879.78</v>
      </c>
      <c r="Y215" s="1086">
        <v>0</v>
      </c>
      <c r="Z215" s="1086">
        <v>0</v>
      </c>
      <c r="AA215" s="1086">
        <v>5000</v>
      </c>
      <c r="AB215" s="1086">
        <v>0</v>
      </c>
      <c r="AC215" s="1086">
        <v>288230.25</v>
      </c>
      <c r="AD215" s="1086" t="s">
        <v>248</v>
      </c>
      <c r="AE215" s="1086" t="s">
        <v>3877</v>
      </c>
      <c r="AF215" s="1086">
        <f t="shared" si="13"/>
        <v>288230.25</v>
      </c>
      <c r="AG215" s="1086">
        <f t="shared" si="12"/>
        <v>0</v>
      </c>
      <c r="AQ215" s="1086">
        <v>0</v>
      </c>
      <c r="AR215" s="1086">
        <v>0</v>
      </c>
      <c r="AS215" s="1086">
        <v>288230.25</v>
      </c>
      <c r="AT215" s="1086">
        <f t="shared" si="14"/>
        <v>0</v>
      </c>
      <c r="AV215" s="1150">
        <f t="shared" si="15"/>
        <v>42123.799999999996</v>
      </c>
    </row>
    <row r="216" spans="1:48" x14ac:dyDescent="0.2">
      <c r="A216" s="19">
        <v>214</v>
      </c>
      <c r="B216" t="s">
        <v>1516</v>
      </c>
      <c r="C216" t="s">
        <v>1290</v>
      </c>
      <c r="D216" t="s">
        <v>1005</v>
      </c>
      <c r="E216" t="s">
        <v>2166</v>
      </c>
      <c r="F216" t="s">
        <v>2363</v>
      </c>
      <c r="G216" t="s">
        <v>1250</v>
      </c>
      <c r="H216" t="s">
        <v>3823</v>
      </c>
      <c r="I216" t="s">
        <v>3251</v>
      </c>
      <c r="J216" t="s">
        <v>3251</v>
      </c>
      <c r="K216" t="s">
        <v>3251</v>
      </c>
      <c r="L216" t="s">
        <v>2687</v>
      </c>
      <c r="M216" s="1086">
        <v>0</v>
      </c>
      <c r="N216" s="1086">
        <v>0</v>
      </c>
      <c r="O216" s="1086">
        <v>100000</v>
      </c>
      <c r="P216" s="1086">
        <v>0</v>
      </c>
      <c r="Q216" s="1086">
        <v>960</v>
      </c>
      <c r="R216" s="1086">
        <v>0</v>
      </c>
      <c r="S216" s="1086">
        <v>0</v>
      </c>
      <c r="T216" s="1086">
        <v>1486.37</v>
      </c>
      <c r="U216" s="1086">
        <v>250</v>
      </c>
      <c r="V216" s="1086">
        <v>0</v>
      </c>
      <c r="W216" s="1086">
        <v>0</v>
      </c>
      <c r="X216" s="1086">
        <v>0</v>
      </c>
      <c r="Y216" s="1086">
        <v>0</v>
      </c>
      <c r="Z216" s="1086">
        <v>0</v>
      </c>
      <c r="AA216" s="1086">
        <v>0</v>
      </c>
      <c r="AB216" s="1086">
        <v>0</v>
      </c>
      <c r="AC216" s="1086">
        <v>97303.63</v>
      </c>
      <c r="AD216" s="1086" t="s">
        <v>248</v>
      </c>
      <c r="AE216" s="1086" t="s">
        <v>3877</v>
      </c>
      <c r="AF216" s="1086">
        <f t="shared" si="13"/>
        <v>97303.63</v>
      </c>
      <c r="AG216" s="1086">
        <f t="shared" si="12"/>
        <v>0</v>
      </c>
      <c r="AQ216" s="1086">
        <v>0</v>
      </c>
      <c r="AR216" s="1086">
        <v>0</v>
      </c>
      <c r="AS216" s="1086">
        <v>97303.63</v>
      </c>
      <c r="AT216" s="1086">
        <f t="shared" si="14"/>
        <v>0</v>
      </c>
      <c r="AV216" s="1150">
        <f t="shared" si="15"/>
        <v>2696.37</v>
      </c>
    </row>
    <row r="217" spans="1:48" x14ac:dyDescent="0.2">
      <c r="A217" s="19">
        <v>215</v>
      </c>
      <c r="B217" t="s">
        <v>1517</v>
      </c>
      <c r="C217" t="s">
        <v>1290</v>
      </c>
      <c r="D217" t="s">
        <v>1047</v>
      </c>
      <c r="E217" t="s">
        <v>2167</v>
      </c>
      <c r="F217" t="s">
        <v>2479</v>
      </c>
      <c r="G217" t="s">
        <v>608</v>
      </c>
      <c r="H217" t="s">
        <v>3828</v>
      </c>
      <c r="I217">
        <v>2202</v>
      </c>
      <c r="J217" t="s">
        <v>3260</v>
      </c>
      <c r="K217" t="s">
        <v>3446</v>
      </c>
      <c r="L217" t="s">
        <v>2688</v>
      </c>
      <c r="M217" s="1086">
        <v>-4612.96</v>
      </c>
      <c r="N217" s="1086">
        <v>0</v>
      </c>
      <c r="O217" s="1086">
        <v>0</v>
      </c>
      <c r="P217" s="1086">
        <v>0</v>
      </c>
      <c r="Q217" s="1086">
        <v>0</v>
      </c>
      <c r="R217" s="1086">
        <v>0</v>
      </c>
      <c r="S217" s="1086">
        <v>0</v>
      </c>
      <c r="T217" s="1086">
        <v>0</v>
      </c>
      <c r="U217" s="1086">
        <v>0</v>
      </c>
      <c r="V217" s="1086">
        <v>0</v>
      </c>
      <c r="W217" s="1086">
        <v>0</v>
      </c>
      <c r="X217" s="1086">
        <v>0</v>
      </c>
      <c r="Y217" s="1086">
        <v>0</v>
      </c>
      <c r="Z217" s="1086">
        <v>0</v>
      </c>
      <c r="AA217" s="1086">
        <v>0</v>
      </c>
      <c r="AB217" s="1086">
        <v>0</v>
      </c>
      <c r="AC217" s="1086">
        <v>-4612.96</v>
      </c>
      <c r="AD217" s="1103" t="s">
        <v>608</v>
      </c>
      <c r="AE217" s="1086" t="s">
        <v>3878</v>
      </c>
      <c r="AF217" s="1086">
        <f t="shared" si="13"/>
        <v>-4612.96</v>
      </c>
      <c r="AG217" s="1086">
        <f t="shared" si="12"/>
        <v>0</v>
      </c>
      <c r="AQ217" s="1086">
        <v>0</v>
      </c>
      <c r="AR217" s="1086">
        <v>0</v>
      </c>
      <c r="AS217" s="1086">
        <v>-4612.96</v>
      </c>
      <c r="AT217" s="1086">
        <f t="shared" si="14"/>
        <v>0</v>
      </c>
      <c r="AV217" s="1150">
        <f t="shared" si="15"/>
        <v>0</v>
      </c>
    </row>
    <row r="218" spans="1:48" x14ac:dyDescent="0.2">
      <c r="A218" s="19">
        <v>216</v>
      </c>
      <c r="B218" t="s">
        <v>1518</v>
      </c>
      <c r="C218" t="s">
        <v>1290</v>
      </c>
      <c r="D218" t="s">
        <v>1027</v>
      </c>
      <c r="E218" t="s">
        <v>2168</v>
      </c>
      <c r="F218" t="s">
        <v>2364</v>
      </c>
      <c r="G218" t="s">
        <v>1254</v>
      </c>
      <c r="H218" t="s">
        <v>3823</v>
      </c>
      <c r="I218">
        <v>0</v>
      </c>
      <c r="L218" t="s">
        <v>2689</v>
      </c>
      <c r="M218" s="1086">
        <v>10130.86</v>
      </c>
      <c r="N218" s="1086">
        <v>0</v>
      </c>
      <c r="O218" s="1086">
        <v>9.9499999999999993</v>
      </c>
      <c r="P218" s="1086">
        <v>5259.5</v>
      </c>
      <c r="Q218" s="1086">
        <v>0</v>
      </c>
      <c r="R218" s="1086">
        <v>0</v>
      </c>
      <c r="S218" s="1086">
        <v>0</v>
      </c>
      <c r="T218" s="1086">
        <v>2297.59</v>
      </c>
      <c r="U218" s="1086">
        <v>2574.2800000000002</v>
      </c>
      <c r="V218" s="1086">
        <v>0</v>
      </c>
      <c r="W218" s="1086">
        <v>0</v>
      </c>
      <c r="X218" s="1086">
        <v>9.44</v>
      </c>
      <c r="Y218" s="1086">
        <v>0</v>
      </c>
      <c r="Z218" s="1086">
        <v>0</v>
      </c>
      <c r="AA218" s="1086">
        <v>0</v>
      </c>
      <c r="AB218" s="1086">
        <v>0</v>
      </c>
      <c r="AC218" s="1086">
        <v>0</v>
      </c>
      <c r="AD218" s="1086" t="s">
        <v>248</v>
      </c>
      <c r="AE218" s="1086" t="s">
        <v>3877</v>
      </c>
      <c r="AF218" s="1086">
        <f t="shared" si="13"/>
        <v>0</v>
      </c>
      <c r="AG218" s="1086">
        <f t="shared" si="12"/>
        <v>0</v>
      </c>
      <c r="AQ218" s="1086">
        <v>0</v>
      </c>
      <c r="AR218" s="1086">
        <v>0</v>
      </c>
      <c r="AS218" s="1086">
        <v>0</v>
      </c>
      <c r="AT218" s="1086">
        <f t="shared" si="14"/>
        <v>0</v>
      </c>
      <c r="AV218" s="1150">
        <f t="shared" si="15"/>
        <v>10140.810000000001</v>
      </c>
    </row>
    <row r="219" spans="1:48" x14ac:dyDescent="0.2">
      <c r="A219" s="19">
        <v>217</v>
      </c>
      <c r="B219" t="s">
        <v>1519</v>
      </c>
      <c r="C219" t="s">
        <v>1290</v>
      </c>
      <c r="D219" t="s">
        <v>1027</v>
      </c>
      <c r="E219" t="s">
        <v>2168</v>
      </c>
      <c r="F219" t="s">
        <v>2364</v>
      </c>
      <c r="G219" t="s">
        <v>1254</v>
      </c>
      <c r="H219" t="s">
        <v>3823</v>
      </c>
      <c r="I219">
        <v>0</v>
      </c>
      <c r="L219" t="s">
        <v>2690</v>
      </c>
      <c r="M219" s="1086">
        <v>0</v>
      </c>
      <c r="N219" s="1086">
        <v>0</v>
      </c>
      <c r="O219" s="1086">
        <v>0</v>
      </c>
      <c r="P219" s="1086">
        <v>0</v>
      </c>
      <c r="Q219" s="1086">
        <v>0</v>
      </c>
      <c r="R219" s="1086">
        <v>0</v>
      </c>
      <c r="S219" s="1086">
        <v>0</v>
      </c>
      <c r="T219" s="1086">
        <v>-740.92</v>
      </c>
      <c r="U219" s="1086">
        <v>0</v>
      </c>
      <c r="V219" s="1086">
        <v>0</v>
      </c>
      <c r="W219" s="1086">
        <v>0</v>
      </c>
      <c r="X219" s="1086">
        <v>0</v>
      </c>
      <c r="Y219" s="1086">
        <v>0</v>
      </c>
      <c r="Z219" s="1086">
        <v>0</v>
      </c>
      <c r="AA219" s="1086">
        <v>740.92</v>
      </c>
      <c r="AB219" s="1086">
        <v>0</v>
      </c>
      <c r="AC219" s="1086">
        <v>0</v>
      </c>
      <c r="AD219" s="1086" t="s">
        <v>248</v>
      </c>
      <c r="AE219" s="1086" t="s">
        <v>3877</v>
      </c>
      <c r="AF219" s="1086">
        <f t="shared" si="13"/>
        <v>0</v>
      </c>
      <c r="AG219" s="1086">
        <f t="shared" si="12"/>
        <v>0</v>
      </c>
      <c r="AQ219" s="1086">
        <v>0</v>
      </c>
      <c r="AR219" s="1086">
        <v>0</v>
      </c>
      <c r="AS219" s="1086">
        <v>0</v>
      </c>
      <c r="AT219" s="1086">
        <f t="shared" si="14"/>
        <v>0</v>
      </c>
      <c r="AV219" s="1150">
        <f t="shared" si="15"/>
        <v>0</v>
      </c>
    </row>
    <row r="220" spans="1:48" x14ac:dyDescent="0.2">
      <c r="A220" s="19">
        <v>218</v>
      </c>
      <c r="B220" t="s">
        <v>1520</v>
      </c>
      <c r="C220" t="s">
        <v>1290</v>
      </c>
      <c r="D220" t="s">
        <v>1027</v>
      </c>
      <c r="E220" t="s">
        <v>2168</v>
      </c>
      <c r="F220" t="s">
        <v>2364</v>
      </c>
      <c r="G220" t="s">
        <v>1254</v>
      </c>
      <c r="H220" t="s">
        <v>3823</v>
      </c>
      <c r="I220">
        <v>0</v>
      </c>
      <c r="L220" t="s">
        <v>2691</v>
      </c>
      <c r="M220" s="1086">
        <v>24907.23</v>
      </c>
      <c r="N220" s="1086">
        <v>0</v>
      </c>
      <c r="O220" s="1086">
        <v>3898.45</v>
      </c>
      <c r="P220" s="1086">
        <v>13969.6</v>
      </c>
      <c r="Q220" s="1086">
        <v>0</v>
      </c>
      <c r="R220" s="1086">
        <v>0</v>
      </c>
      <c r="S220" s="1086">
        <v>0</v>
      </c>
      <c r="T220" s="1086">
        <v>2607.38</v>
      </c>
      <c r="U220" s="1086">
        <v>5887.73</v>
      </c>
      <c r="V220" s="1086">
        <v>0</v>
      </c>
      <c r="W220" s="1086">
        <v>0</v>
      </c>
      <c r="X220" s="1086">
        <v>900.97</v>
      </c>
      <c r="Y220" s="1086">
        <v>0</v>
      </c>
      <c r="Z220" s="1086">
        <v>0</v>
      </c>
      <c r="AA220" s="1086">
        <v>5440</v>
      </c>
      <c r="AB220" s="1086">
        <v>0</v>
      </c>
      <c r="AC220" s="1086">
        <v>0</v>
      </c>
      <c r="AD220" s="1086" t="s">
        <v>248</v>
      </c>
      <c r="AE220" s="1086" t="s">
        <v>3877</v>
      </c>
      <c r="AF220" s="1086">
        <f t="shared" si="13"/>
        <v>0</v>
      </c>
      <c r="AG220" s="1086">
        <f t="shared" si="12"/>
        <v>0</v>
      </c>
      <c r="AQ220" s="1086">
        <v>0</v>
      </c>
      <c r="AR220" s="1086">
        <v>0</v>
      </c>
      <c r="AS220" s="1086">
        <v>0</v>
      </c>
      <c r="AT220" s="1086">
        <f t="shared" si="14"/>
        <v>0</v>
      </c>
      <c r="AV220" s="1150">
        <f t="shared" si="15"/>
        <v>28805.68</v>
      </c>
    </row>
    <row r="221" spans="1:48" x14ac:dyDescent="0.2">
      <c r="A221" s="19">
        <v>219</v>
      </c>
      <c r="B221" t="s">
        <v>1521</v>
      </c>
      <c r="C221" t="s">
        <v>1290</v>
      </c>
      <c r="D221" t="s">
        <v>1027</v>
      </c>
      <c r="E221" t="s">
        <v>2168</v>
      </c>
      <c r="F221" t="s">
        <v>2364</v>
      </c>
      <c r="G221" t="s">
        <v>1254</v>
      </c>
      <c r="H221" t="s">
        <v>3823</v>
      </c>
      <c r="I221">
        <v>0</v>
      </c>
      <c r="L221" t="s">
        <v>2692</v>
      </c>
      <c r="M221" s="1086">
        <v>11633.54</v>
      </c>
      <c r="N221" s="1086">
        <v>0</v>
      </c>
      <c r="O221" s="1086">
        <v>0.03</v>
      </c>
      <c r="P221" s="1086">
        <v>5913.05</v>
      </c>
      <c r="Q221" s="1086">
        <v>0</v>
      </c>
      <c r="R221" s="1086">
        <v>0</v>
      </c>
      <c r="S221" s="1086">
        <v>1933.2</v>
      </c>
      <c r="T221" s="1086">
        <v>207.32</v>
      </c>
      <c r="U221" s="1086">
        <v>0</v>
      </c>
      <c r="V221" s="1086">
        <v>0</v>
      </c>
      <c r="W221" s="1086">
        <v>0</v>
      </c>
      <c r="X221" s="1086">
        <v>0</v>
      </c>
      <c r="Y221" s="1086">
        <v>0</v>
      </c>
      <c r="Z221" s="1086">
        <v>0</v>
      </c>
      <c r="AA221" s="1086">
        <v>3580</v>
      </c>
      <c r="AB221" s="1086">
        <v>0</v>
      </c>
      <c r="AC221" s="1086">
        <v>0</v>
      </c>
      <c r="AD221" s="1086" t="s">
        <v>248</v>
      </c>
      <c r="AE221" s="1086" t="s">
        <v>3877</v>
      </c>
      <c r="AF221" s="1086">
        <f t="shared" si="13"/>
        <v>1.8189894035458565E-12</v>
      </c>
      <c r="AG221" s="1086">
        <f t="shared" si="12"/>
        <v>-1.8189894035458565E-12</v>
      </c>
      <c r="AQ221" s="1086">
        <v>0</v>
      </c>
      <c r="AR221" s="1086">
        <v>0</v>
      </c>
      <c r="AS221" s="1086">
        <v>0</v>
      </c>
      <c r="AT221" s="1086">
        <f t="shared" si="14"/>
        <v>0</v>
      </c>
      <c r="AV221" s="1150">
        <f t="shared" si="15"/>
        <v>11633.57</v>
      </c>
    </row>
    <row r="222" spans="1:48" x14ac:dyDescent="0.2">
      <c r="A222" s="19">
        <v>220</v>
      </c>
      <c r="B222" t="s">
        <v>1522</v>
      </c>
      <c r="C222" t="s">
        <v>1290</v>
      </c>
      <c r="D222" t="s">
        <v>1027</v>
      </c>
      <c r="E222" t="s">
        <v>2168</v>
      </c>
      <c r="F222" t="s">
        <v>2364</v>
      </c>
      <c r="G222" t="s">
        <v>1254</v>
      </c>
      <c r="H222" t="s">
        <v>3823</v>
      </c>
      <c r="I222">
        <v>0</v>
      </c>
      <c r="L222" t="s">
        <v>2693</v>
      </c>
      <c r="M222" s="1086">
        <v>5397.08</v>
      </c>
      <c r="N222" s="1086">
        <v>0</v>
      </c>
      <c r="O222" s="1086">
        <v>0</v>
      </c>
      <c r="P222" s="1086">
        <v>0</v>
      </c>
      <c r="Q222" s="1086">
        <v>0</v>
      </c>
      <c r="R222" s="1086">
        <v>0</v>
      </c>
      <c r="S222" s="1086">
        <v>472.24</v>
      </c>
      <c r="T222" s="1086">
        <v>19.850000000000001</v>
      </c>
      <c r="U222" s="1086">
        <v>4904.99</v>
      </c>
      <c r="V222" s="1086">
        <v>0</v>
      </c>
      <c r="W222" s="1086">
        <v>0</v>
      </c>
      <c r="X222" s="1086">
        <v>0</v>
      </c>
      <c r="Y222" s="1086">
        <v>0</v>
      </c>
      <c r="Z222" s="1086">
        <v>0</v>
      </c>
      <c r="AA222" s="1086">
        <v>0</v>
      </c>
      <c r="AB222" s="1086">
        <v>0</v>
      </c>
      <c r="AC222" s="1086">
        <v>0</v>
      </c>
      <c r="AD222" s="1086" t="s">
        <v>248</v>
      </c>
      <c r="AE222" s="1086" t="s">
        <v>3877</v>
      </c>
      <c r="AF222" s="1086">
        <f t="shared" si="13"/>
        <v>0</v>
      </c>
      <c r="AG222" s="1086">
        <f t="shared" si="12"/>
        <v>0</v>
      </c>
      <c r="AQ222" s="1086">
        <v>0</v>
      </c>
      <c r="AR222" s="1086">
        <v>0</v>
      </c>
      <c r="AS222" s="1086">
        <v>0</v>
      </c>
      <c r="AT222" s="1086">
        <f t="shared" si="14"/>
        <v>0</v>
      </c>
      <c r="AV222" s="1150">
        <f t="shared" si="15"/>
        <v>5397.08</v>
      </c>
    </row>
    <row r="223" spans="1:48" x14ac:dyDescent="0.2">
      <c r="A223" s="19">
        <v>221</v>
      </c>
      <c r="B223" t="s">
        <v>1523</v>
      </c>
      <c r="C223" t="s">
        <v>1290</v>
      </c>
      <c r="D223" t="s">
        <v>1027</v>
      </c>
      <c r="E223" t="s">
        <v>2168</v>
      </c>
      <c r="F223" t="s">
        <v>2364</v>
      </c>
      <c r="G223" t="s">
        <v>1254</v>
      </c>
      <c r="H223" t="s">
        <v>3823</v>
      </c>
      <c r="I223">
        <v>0</v>
      </c>
      <c r="L223" t="s">
        <v>2694</v>
      </c>
      <c r="M223" s="1086">
        <v>0</v>
      </c>
      <c r="N223" s="1086">
        <v>0</v>
      </c>
      <c r="O223" s="1086">
        <v>474</v>
      </c>
      <c r="P223" s="1086">
        <v>0</v>
      </c>
      <c r="Q223" s="1086">
        <v>0</v>
      </c>
      <c r="R223" s="1086">
        <v>0</v>
      </c>
      <c r="S223" s="1086">
        <v>0</v>
      </c>
      <c r="T223" s="1086">
        <v>0</v>
      </c>
      <c r="U223" s="1086">
        <v>474</v>
      </c>
      <c r="V223" s="1086">
        <v>0</v>
      </c>
      <c r="W223" s="1086">
        <v>0</v>
      </c>
      <c r="X223" s="1086">
        <v>0</v>
      </c>
      <c r="Y223" s="1086">
        <v>0</v>
      </c>
      <c r="Z223" s="1086">
        <v>0</v>
      </c>
      <c r="AA223" s="1086">
        <v>0</v>
      </c>
      <c r="AB223" s="1086">
        <v>0</v>
      </c>
      <c r="AC223" s="1086">
        <v>0</v>
      </c>
      <c r="AD223" s="1086" t="s">
        <v>248</v>
      </c>
      <c r="AE223" s="1086" t="s">
        <v>3877</v>
      </c>
      <c r="AF223" s="1086">
        <f t="shared" si="13"/>
        <v>0</v>
      </c>
      <c r="AG223" s="1086">
        <f t="shared" si="12"/>
        <v>0</v>
      </c>
      <c r="AQ223" s="1086">
        <v>0</v>
      </c>
      <c r="AR223" s="1086">
        <v>0</v>
      </c>
      <c r="AS223" s="1086">
        <v>0</v>
      </c>
      <c r="AT223" s="1086">
        <f t="shared" si="14"/>
        <v>0</v>
      </c>
      <c r="AV223" s="1150">
        <f t="shared" si="15"/>
        <v>474</v>
      </c>
    </row>
    <row r="224" spans="1:48" x14ac:dyDescent="0.2">
      <c r="A224" s="19">
        <v>223</v>
      </c>
      <c r="B224" t="s">
        <v>1524</v>
      </c>
      <c r="C224" t="s">
        <v>1290</v>
      </c>
      <c r="D224" t="s">
        <v>1062</v>
      </c>
      <c r="E224" t="s">
        <v>2169</v>
      </c>
      <c r="F224" t="s">
        <v>2365</v>
      </c>
      <c r="G224" t="s">
        <v>1249</v>
      </c>
      <c r="H224" t="s">
        <v>3827</v>
      </c>
      <c r="I224">
        <v>0</v>
      </c>
      <c r="L224" t="s">
        <v>2695</v>
      </c>
      <c r="M224" s="1086">
        <v>21203.38</v>
      </c>
      <c r="N224" s="1086">
        <v>0</v>
      </c>
      <c r="O224" s="1086">
        <v>0</v>
      </c>
      <c r="P224" s="1086">
        <v>0</v>
      </c>
      <c r="Q224" s="1086">
        <v>0</v>
      </c>
      <c r="R224" s="1086">
        <v>0</v>
      </c>
      <c r="S224" s="1086">
        <v>0</v>
      </c>
      <c r="T224" s="1086">
        <v>0</v>
      </c>
      <c r="U224" s="1086">
        <v>-10882.23</v>
      </c>
      <c r="V224" s="1086">
        <v>0</v>
      </c>
      <c r="W224" s="1086">
        <v>0</v>
      </c>
      <c r="X224" s="1086">
        <v>10597.09</v>
      </c>
      <c r="Y224" s="1086">
        <v>-22623.5</v>
      </c>
      <c r="Z224" s="1086">
        <v>0</v>
      </c>
      <c r="AA224" s="1086">
        <v>0</v>
      </c>
      <c r="AB224" s="1086">
        <v>0</v>
      </c>
      <c r="AC224" s="1086">
        <v>44112.02</v>
      </c>
      <c r="AD224" s="1086" t="s">
        <v>248</v>
      </c>
      <c r="AE224" s="1086" t="s">
        <v>3877</v>
      </c>
      <c r="AF224" s="1086">
        <f t="shared" si="13"/>
        <v>44112.020000000004</v>
      </c>
      <c r="AG224" s="1086">
        <f t="shared" si="12"/>
        <v>0</v>
      </c>
      <c r="AQ224" s="1086">
        <v>0</v>
      </c>
      <c r="AR224" s="1086">
        <v>0</v>
      </c>
      <c r="AS224" s="1086">
        <v>44112.02</v>
      </c>
      <c r="AT224" s="1086">
        <f t="shared" si="14"/>
        <v>0</v>
      </c>
      <c r="AV224" s="1150">
        <f t="shared" si="15"/>
        <v>-22908.639999999999</v>
      </c>
    </row>
    <row r="225" spans="1:48" x14ac:dyDescent="0.2">
      <c r="A225" s="19">
        <v>224</v>
      </c>
      <c r="B225" t="s">
        <v>1525</v>
      </c>
      <c r="C225" t="s">
        <v>1290</v>
      </c>
      <c r="D225" t="s">
        <v>1049</v>
      </c>
      <c r="E225" t="s">
        <v>2170</v>
      </c>
      <c r="F225" t="s">
        <v>2366</v>
      </c>
      <c r="G225" t="s">
        <v>1250</v>
      </c>
      <c r="H225" t="s">
        <v>3825</v>
      </c>
      <c r="I225" t="s">
        <v>3839</v>
      </c>
      <c r="J225" t="s">
        <v>3270</v>
      </c>
      <c r="K225" t="s">
        <v>3447</v>
      </c>
      <c r="L225" t="s">
        <v>2696</v>
      </c>
      <c r="M225" s="1086">
        <v>74950.59</v>
      </c>
      <c r="N225" s="1086">
        <v>0</v>
      </c>
      <c r="O225" s="1086">
        <v>55379.07</v>
      </c>
      <c r="P225" s="1086">
        <v>0</v>
      </c>
      <c r="Q225" s="1086">
        <v>0</v>
      </c>
      <c r="R225" s="1086">
        <v>0</v>
      </c>
      <c r="S225" s="1086">
        <v>202</v>
      </c>
      <c r="T225" s="1086">
        <v>3.03</v>
      </c>
      <c r="U225" s="1086">
        <v>12326.56</v>
      </c>
      <c r="V225" s="1086">
        <v>0</v>
      </c>
      <c r="W225" s="1086">
        <v>2514.63</v>
      </c>
      <c r="X225" s="1086">
        <v>49736.44</v>
      </c>
      <c r="Y225" s="1086">
        <v>0</v>
      </c>
      <c r="Z225" s="1086">
        <v>0</v>
      </c>
      <c r="AA225" s="1086">
        <v>250</v>
      </c>
      <c r="AB225" s="1086">
        <v>0</v>
      </c>
      <c r="AC225" s="1086">
        <v>65297</v>
      </c>
      <c r="AD225" s="1086" t="s">
        <v>248</v>
      </c>
      <c r="AE225" s="1086" t="s">
        <v>3877</v>
      </c>
      <c r="AF225" s="1086">
        <f t="shared" si="13"/>
        <v>65297</v>
      </c>
      <c r="AG225" s="1086">
        <f t="shared" si="12"/>
        <v>0</v>
      </c>
      <c r="AQ225" s="1086">
        <v>0</v>
      </c>
      <c r="AR225" s="1086">
        <v>0</v>
      </c>
      <c r="AS225" s="1086">
        <v>65297.000000000007</v>
      </c>
      <c r="AT225" s="1086">
        <f t="shared" si="14"/>
        <v>0</v>
      </c>
      <c r="AV225" s="1150">
        <f t="shared" si="15"/>
        <v>65032.66</v>
      </c>
    </row>
    <row r="226" spans="1:48" x14ac:dyDescent="0.2">
      <c r="A226" s="19">
        <v>225</v>
      </c>
      <c r="B226" t="s">
        <v>1526</v>
      </c>
      <c r="C226" t="s">
        <v>1290</v>
      </c>
      <c r="D226" t="s">
        <v>1050</v>
      </c>
      <c r="E226" t="s">
        <v>2171</v>
      </c>
      <c r="F226" t="s">
        <v>2367</v>
      </c>
      <c r="G226" t="s">
        <v>1250</v>
      </c>
      <c r="H226" t="s">
        <v>3825</v>
      </c>
      <c r="I226" t="s">
        <v>3839</v>
      </c>
      <c r="J226" t="s">
        <v>3272</v>
      </c>
      <c r="K226" t="s">
        <v>3448</v>
      </c>
      <c r="L226" t="s">
        <v>2697</v>
      </c>
      <c r="M226" s="1086">
        <v>49301.02</v>
      </c>
      <c r="N226" s="1086">
        <v>0</v>
      </c>
      <c r="O226" s="1086">
        <v>0</v>
      </c>
      <c r="P226" s="1086">
        <v>0</v>
      </c>
      <c r="Q226" s="1086">
        <v>0</v>
      </c>
      <c r="R226" s="1086">
        <v>0</v>
      </c>
      <c r="S226" s="1086">
        <v>0</v>
      </c>
      <c r="T226" s="1086">
        <v>0</v>
      </c>
      <c r="U226" s="1086">
        <v>0</v>
      </c>
      <c r="V226" s="1086">
        <v>0</v>
      </c>
      <c r="W226" s="1086">
        <v>0</v>
      </c>
      <c r="X226" s="1086">
        <v>0</v>
      </c>
      <c r="Y226" s="1086">
        <v>0</v>
      </c>
      <c r="Z226" s="1086">
        <v>0</v>
      </c>
      <c r="AA226" s="1086">
        <v>66.5</v>
      </c>
      <c r="AB226" s="1086">
        <v>0</v>
      </c>
      <c r="AC226" s="1086">
        <v>49234.52</v>
      </c>
      <c r="AD226" s="1086" t="s">
        <v>248</v>
      </c>
      <c r="AE226" s="1086" t="s">
        <v>3877</v>
      </c>
      <c r="AF226" s="1086">
        <f t="shared" si="13"/>
        <v>49234.52</v>
      </c>
      <c r="AG226" s="1086">
        <f t="shared" si="12"/>
        <v>0</v>
      </c>
      <c r="AQ226" s="1086">
        <v>0</v>
      </c>
      <c r="AR226" s="1086">
        <v>0</v>
      </c>
      <c r="AS226" s="1086">
        <v>49234.52</v>
      </c>
      <c r="AT226" s="1086">
        <f t="shared" si="14"/>
        <v>0</v>
      </c>
      <c r="AV226" s="1150">
        <f t="shared" si="15"/>
        <v>66.5</v>
      </c>
    </row>
    <row r="227" spans="1:48" x14ac:dyDescent="0.2">
      <c r="A227" s="19">
        <v>226</v>
      </c>
      <c r="B227" t="s">
        <v>1527</v>
      </c>
      <c r="C227" t="s">
        <v>1290</v>
      </c>
      <c r="D227" t="s">
        <v>1043</v>
      </c>
      <c r="E227" t="s">
        <v>2172</v>
      </c>
      <c r="F227" t="s">
        <v>2368</v>
      </c>
      <c r="G227" t="s">
        <v>1257</v>
      </c>
      <c r="H227" t="s">
        <v>3829</v>
      </c>
      <c r="I227">
        <v>0</v>
      </c>
      <c r="L227" t="s">
        <v>2698</v>
      </c>
      <c r="M227" s="1086">
        <v>172443.61</v>
      </c>
      <c r="N227" s="1086">
        <v>0</v>
      </c>
      <c r="O227" s="1086">
        <v>0</v>
      </c>
      <c r="P227" s="1086">
        <v>0</v>
      </c>
      <c r="Q227" s="1086">
        <v>0</v>
      </c>
      <c r="R227" s="1086">
        <v>0</v>
      </c>
      <c r="S227" s="1086">
        <v>0</v>
      </c>
      <c r="T227" s="1086">
        <v>0</v>
      </c>
      <c r="U227" s="1086">
        <v>0</v>
      </c>
      <c r="V227" s="1086">
        <v>0</v>
      </c>
      <c r="W227" s="1086">
        <v>0</v>
      </c>
      <c r="X227" s="1086">
        <v>0</v>
      </c>
      <c r="Y227" s="1086">
        <v>0</v>
      </c>
      <c r="Z227" s="1086">
        <v>0</v>
      </c>
      <c r="AA227" s="1086">
        <v>171543.61</v>
      </c>
      <c r="AB227" s="1086">
        <v>0</v>
      </c>
      <c r="AC227" s="1086">
        <v>900</v>
      </c>
      <c r="AD227" s="1086" t="s">
        <v>248</v>
      </c>
      <c r="AE227" s="1086" t="s">
        <v>3877</v>
      </c>
      <c r="AF227" s="1086">
        <f t="shared" si="13"/>
        <v>900</v>
      </c>
      <c r="AG227" s="1086">
        <f t="shared" si="12"/>
        <v>0</v>
      </c>
      <c r="AQ227" s="1086">
        <v>0</v>
      </c>
      <c r="AR227" s="1086">
        <v>0</v>
      </c>
      <c r="AS227" s="1086">
        <v>0</v>
      </c>
      <c r="AT227" s="1086">
        <f t="shared" si="14"/>
        <v>900</v>
      </c>
      <c r="AU227" s="167" t="s">
        <v>3912</v>
      </c>
      <c r="AV227" s="1150">
        <f t="shared" si="15"/>
        <v>171543.61</v>
      </c>
    </row>
    <row r="228" spans="1:48" x14ac:dyDescent="0.2">
      <c r="A228" s="19">
        <v>227</v>
      </c>
      <c r="B228" t="s">
        <v>1528</v>
      </c>
      <c r="C228" t="s">
        <v>1290</v>
      </c>
      <c r="D228" t="s">
        <v>1032</v>
      </c>
      <c r="E228" t="s">
        <v>2173</v>
      </c>
      <c r="F228" t="s">
        <v>2369</v>
      </c>
      <c r="G228" t="s">
        <v>1250</v>
      </c>
      <c r="H228" t="s">
        <v>3827</v>
      </c>
      <c r="I228" t="s">
        <v>3839</v>
      </c>
      <c r="J228" t="s">
        <v>3332</v>
      </c>
      <c r="K228" t="s">
        <v>3449</v>
      </c>
      <c r="L228" t="s">
        <v>2699</v>
      </c>
      <c r="M228" s="1086">
        <v>119265.24</v>
      </c>
      <c r="N228" s="1086">
        <v>0</v>
      </c>
      <c r="O228" s="1086">
        <v>0</v>
      </c>
      <c r="P228" s="1086">
        <v>0</v>
      </c>
      <c r="Q228" s="1086">
        <v>0</v>
      </c>
      <c r="R228" s="1086">
        <v>0</v>
      </c>
      <c r="S228" s="1086">
        <v>0</v>
      </c>
      <c r="T228" s="1086">
        <v>0</v>
      </c>
      <c r="U228" s="1086">
        <v>34040</v>
      </c>
      <c r="V228" s="1086">
        <v>0</v>
      </c>
      <c r="W228" s="1086">
        <v>0</v>
      </c>
      <c r="X228" s="1086">
        <v>0</v>
      </c>
      <c r="Y228" s="1086">
        <v>0</v>
      </c>
      <c r="Z228" s="1086">
        <v>0</v>
      </c>
      <c r="AA228" s="1086">
        <v>0</v>
      </c>
      <c r="AB228" s="1086">
        <v>0</v>
      </c>
      <c r="AC228" s="1086">
        <v>85225.24</v>
      </c>
      <c r="AD228" s="1086" t="s">
        <v>248</v>
      </c>
      <c r="AE228" s="1086" t="s">
        <v>3877</v>
      </c>
      <c r="AF228" s="1086">
        <f t="shared" si="13"/>
        <v>85225.24</v>
      </c>
      <c r="AG228" s="1086">
        <f t="shared" si="12"/>
        <v>0</v>
      </c>
      <c r="AQ228" s="1086">
        <v>0</v>
      </c>
      <c r="AR228" s="1086">
        <v>0</v>
      </c>
      <c r="AS228" s="1086">
        <v>85225.24</v>
      </c>
      <c r="AT228" s="1086">
        <f t="shared" si="14"/>
        <v>0</v>
      </c>
      <c r="AV228" s="1150">
        <f t="shared" si="15"/>
        <v>34040</v>
      </c>
    </row>
    <row r="229" spans="1:48" x14ac:dyDescent="0.2">
      <c r="A229" s="19">
        <v>228</v>
      </c>
      <c r="B229" t="s">
        <v>1529</v>
      </c>
      <c r="C229" t="s">
        <v>1290</v>
      </c>
      <c r="D229" t="s">
        <v>1039</v>
      </c>
      <c r="E229" t="s">
        <v>2174</v>
      </c>
      <c r="F229" t="s">
        <v>2370</v>
      </c>
      <c r="G229" t="s">
        <v>1250</v>
      </c>
      <c r="H229" t="s">
        <v>3825</v>
      </c>
      <c r="I229" t="s">
        <v>3839</v>
      </c>
      <c r="J229" t="s">
        <v>3266</v>
      </c>
      <c r="K229" t="s">
        <v>3450</v>
      </c>
      <c r="L229" t="s">
        <v>2700</v>
      </c>
      <c r="M229" s="1086">
        <v>45849.79</v>
      </c>
      <c r="N229" s="1086">
        <v>239.8</v>
      </c>
      <c r="O229" s="1086">
        <v>273984.21000000002</v>
      </c>
      <c r="P229" s="1086">
        <v>75301.5</v>
      </c>
      <c r="Q229" s="1086">
        <v>0</v>
      </c>
      <c r="R229" s="1086">
        <v>0</v>
      </c>
      <c r="S229" s="1086">
        <v>18057.8</v>
      </c>
      <c r="T229" s="1086">
        <v>11920.12</v>
      </c>
      <c r="U229" s="1086">
        <v>51257.14</v>
      </c>
      <c r="V229" s="1086">
        <v>0</v>
      </c>
      <c r="W229" s="1086">
        <v>1221.22</v>
      </c>
      <c r="X229" s="1086">
        <v>146841.41</v>
      </c>
      <c r="Y229" s="1086">
        <v>0</v>
      </c>
      <c r="Z229" s="1086">
        <v>0</v>
      </c>
      <c r="AA229" s="1086">
        <v>2592</v>
      </c>
      <c r="AB229" s="1086">
        <v>0</v>
      </c>
      <c r="AC229" s="1086">
        <v>12882.61</v>
      </c>
      <c r="AD229" s="1086" t="s">
        <v>248</v>
      </c>
      <c r="AE229" s="1086" t="s">
        <v>3877</v>
      </c>
      <c r="AF229" s="1086">
        <f t="shared" si="13"/>
        <v>12882.610000000044</v>
      </c>
      <c r="AG229" s="1086">
        <f t="shared" si="12"/>
        <v>-4.3655745685100555E-11</v>
      </c>
      <c r="AQ229" s="1086">
        <v>0</v>
      </c>
      <c r="AR229" s="1086">
        <v>0</v>
      </c>
      <c r="AS229" s="1086">
        <v>12882.61</v>
      </c>
      <c r="AT229" s="1086">
        <f t="shared" si="14"/>
        <v>0</v>
      </c>
      <c r="AV229" s="1150">
        <f t="shared" si="15"/>
        <v>307191.19</v>
      </c>
    </row>
    <row r="230" spans="1:48" x14ac:dyDescent="0.2">
      <c r="A230" s="19">
        <v>229</v>
      </c>
      <c r="B230" t="s">
        <v>1530</v>
      </c>
      <c r="C230" t="s">
        <v>1290</v>
      </c>
      <c r="D230" t="s">
        <v>1039</v>
      </c>
      <c r="E230" t="s">
        <v>2174</v>
      </c>
      <c r="F230" t="s">
        <v>2370</v>
      </c>
      <c r="G230" t="s">
        <v>1250</v>
      </c>
      <c r="H230" t="s">
        <v>3825</v>
      </c>
      <c r="I230" t="s">
        <v>3839</v>
      </c>
      <c r="J230" t="s">
        <v>3266</v>
      </c>
      <c r="K230" t="s">
        <v>3451</v>
      </c>
      <c r="L230" t="s">
        <v>2701</v>
      </c>
      <c r="M230" s="1086">
        <v>40643.629999999997</v>
      </c>
      <c r="N230" s="1086">
        <v>0</v>
      </c>
      <c r="O230" s="1086">
        <v>43000</v>
      </c>
      <c r="P230" s="1086">
        <v>0</v>
      </c>
      <c r="Q230" s="1086">
        <v>0</v>
      </c>
      <c r="R230" s="1086">
        <v>0</v>
      </c>
      <c r="S230" s="1086">
        <v>0</v>
      </c>
      <c r="T230" s="1086">
        <v>0</v>
      </c>
      <c r="U230" s="1086">
        <v>43262.19</v>
      </c>
      <c r="V230" s="1086">
        <v>0</v>
      </c>
      <c r="W230" s="1086">
        <v>528.58000000000004</v>
      </c>
      <c r="X230" s="1086">
        <v>0</v>
      </c>
      <c r="Y230" s="1086">
        <v>0</v>
      </c>
      <c r="Z230" s="1086">
        <v>0</v>
      </c>
      <c r="AA230" s="1086">
        <v>0</v>
      </c>
      <c r="AB230" s="1086">
        <v>0</v>
      </c>
      <c r="AC230" s="1086">
        <v>39852.86</v>
      </c>
      <c r="AD230" s="1086" t="s">
        <v>248</v>
      </c>
      <c r="AE230" s="1086" t="s">
        <v>3877</v>
      </c>
      <c r="AF230" s="1086">
        <f t="shared" si="13"/>
        <v>39852.86</v>
      </c>
      <c r="AG230" s="1086">
        <f t="shared" si="12"/>
        <v>0</v>
      </c>
      <c r="AQ230" s="1086">
        <v>0</v>
      </c>
      <c r="AR230" s="1086">
        <v>0</v>
      </c>
      <c r="AS230" s="1086">
        <v>39852.86</v>
      </c>
      <c r="AT230" s="1086">
        <f t="shared" si="14"/>
        <v>0</v>
      </c>
      <c r="AV230" s="1150">
        <f t="shared" si="15"/>
        <v>43790.770000000004</v>
      </c>
    </row>
    <row r="231" spans="1:48" x14ac:dyDescent="0.2">
      <c r="A231" s="19">
        <v>230</v>
      </c>
      <c r="B231" t="s">
        <v>1531</v>
      </c>
      <c r="C231" t="s">
        <v>1290</v>
      </c>
      <c r="D231" t="s">
        <v>1034</v>
      </c>
      <c r="E231" t="s">
        <v>2175</v>
      </c>
      <c r="F231" t="s">
        <v>2371</v>
      </c>
      <c r="G231" t="s">
        <v>3833</v>
      </c>
      <c r="H231" t="s">
        <v>3822</v>
      </c>
      <c r="I231" t="s">
        <v>3839</v>
      </c>
      <c r="J231" t="s">
        <v>3343</v>
      </c>
      <c r="K231" t="s">
        <v>3452</v>
      </c>
      <c r="L231" t="s">
        <v>2702</v>
      </c>
      <c r="M231" s="1086">
        <v>207570.19</v>
      </c>
      <c r="N231" s="1086">
        <v>267550.34999999998</v>
      </c>
      <c r="O231" s="1086">
        <v>0</v>
      </c>
      <c r="P231" s="1086">
        <v>41124.980000000003</v>
      </c>
      <c r="Q231" s="1086">
        <v>0</v>
      </c>
      <c r="R231" s="1086">
        <v>0</v>
      </c>
      <c r="S231" s="1086">
        <v>0</v>
      </c>
      <c r="T231" s="1086">
        <v>1292.29</v>
      </c>
      <c r="U231" s="1086">
        <v>2653.17</v>
      </c>
      <c r="V231" s="1086">
        <v>0</v>
      </c>
      <c r="W231" s="1086">
        <v>0</v>
      </c>
      <c r="X231" s="1086">
        <v>0</v>
      </c>
      <c r="Y231" s="1086">
        <v>0</v>
      </c>
      <c r="Z231" s="1086">
        <v>0</v>
      </c>
      <c r="AA231" s="1086">
        <v>147792.39000000001</v>
      </c>
      <c r="AB231" s="1086">
        <v>0</v>
      </c>
      <c r="AC231" s="1086">
        <v>282257.71000000002</v>
      </c>
      <c r="AD231" s="1103" t="s">
        <v>1251</v>
      </c>
      <c r="AE231" s="1086" t="s">
        <v>3880</v>
      </c>
      <c r="AF231" s="1086">
        <f t="shared" si="13"/>
        <v>282257.70999999996</v>
      </c>
      <c r="AG231" s="1086">
        <f t="shared" si="12"/>
        <v>0</v>
      </c>
      <c r="AQ231" s="1086">
        <v>0</v>
      </c>
      <c r="AR231" s="1086">
        <v>0</v>
      </c>
      <c r="AS231" s="1086">
        <v>282257.71000000002</v>
      </c>
      <c r="AT231" s="1086">
        <f t="shared" si="14"/>
        <v>0</v>
      </c>
      <c r="AV231" s="1150">
        <f t="shared" si="15"/>
        <v>192862.83000000002</v>
      </c>
    </row>
    <row r="232" spans="1:48" x14ac:dyDescent="0.2">
      <c r="A232" s="19">
        <v>231</v>
      </c>
      <c r="B232" t="s">
        <v>1532</v>
      </c>
      <c r="C232" t="s">
        <v>1290</v>
      </c>
      <c r="D232" t="s">
        <v>1034</v>
      </c>
      <c r="E232" t="s">
        <v>2175</v>
      </c>
      <c r="F232" t="s">
        <v>2371</v>
      </c>
      <c r="G232" t="s">
        <v>3833</v>
      </c>
      <c r="H232" t="s">
        <v>3822</v>
      </c>
      <c r="I232" t="s">
        <v>3839</v>
      </c>
      <c r="J232" t="s">
        <v>3343</v>
      </c>
      <c r="K232" t="s">
        <v>3453</v>
      </c>
      <c r="L232" t="s">
        <v>2703</v>
      </c>
      <c r="M232" s="1086">
        <v>83011.73</v>
      </c>
      <c r="N232" s="1086">
        <v>166787.84</v>
      </c>
      <c r="O232" s="1086">
        <v>0</v>
      </c>
      <c r="P232" s="1086">
        <v>192685.2</v>
      </c>
      <c r="Q232" s="1086">
        <v>0</v>
      </c>
      <c r="R232" s="1086">
        <v>0</v>
      </c>
      <c r="S232" s="1086">
        <v>0</v>
      </c>
      <c r="T232" s="1086">
        <v>32494.29</v>
      </c>
      <c r="U232" s="1086">
        <v>0</v>
      </c>
      <c r="V232" s="1086">
        <v>0</v>
      </c>
      <c r="W232" s="1086">
        <v>0</v>
      </c>
      <c r="X232" s="1086">
        <v>0</v>
      </c>
      <c r="Y232" s="1086">
        <v>0</v>
      </c>
      <c r="Z232" s="1086">
        <v>0</v>
      </c>
      <c r="AA232" s="1086">
        <v>5778.98</v>
      </c>
      <c r="AB232" s="1086">
        <v>0</v>
      </c>
      <c r="AC232" s="1086">
        <v>18841.099999999999</v>
      </c>
      <c r="AD232" s="1103" t="s">
        <v>1251</v>
      </c>
      <c r="AE232" s="1086" t="s">
        <v>3880</v>
      </c>
      <c r="AF232" s="1086">
        <f t="shared" si="13"/>
        <v>18841.099999999977</v>
      </c>
      <c r="AG232" s="1086">
        <f t="shared" si="12"/>
        <v>0</v>
      </c>
      <c r="AQ232" s="1086">
        <v>0</v>
      </c>
      <c r="AR232" s="1086">
        <v>0</v>
      </c>
      <c r="AS232" s="1086">
        <v>18841.099999999999</v>
      </c>
      <c r="AT232" s="1086">
        <f t="shared" si="14"/>
        <v>0</v>
      </c>
      <c r="AV232" s="1150">
        <f t="shared" si="15"/>
        <v>230958.47000000003</v>
      </c>
    </row>
    <row r="233" spans="1:48" x14ac:dyDescent="0.2">
      <c r="A233" s="19">
        <v>232</v>
      </c>
      <c r="B233" t="s">
        <v>1533</v>
      </c>
      <c r="C233" t="s">
        <v>1290</v>
      </c>
      <c r="D233" t="s">
        <v>1034</v>
      </c>
      <c r="E233" t="s">
        <v>2175</v>
      </c>
      <c r="F233" t="s">
        <v>2371</v>
      </c>
      <c r="G233" t="s">
        <v>3833</v>
      </c>
      <c r="H233" t="s">
        <v>3822</v>
      </c>
      <c r="I233" t="s">
        <v>3839</v>
      </c>
      <c r="J233" t="s">
        <v>3343</v>
      </c>
      <c r="K233" t="s">
        <v>3454</v>
      </c>
      <c r="L233" t="s">
        <v>2704</v>
      </c>
      <c r="M233" s="1086">
        <v>205622.54</v>
      </c>
      <c r="N233" s="1086">
        <v>163194.07</v>
      </c>
      <c r="O233" s="1086">
        <v>0</v>
      </c>
      <c r="P233" s="1086">
        <v>152711.95000000001</v>
      </c>
      <c r="Q233" s="1086">
        <v>0</v>
      </c>
      <c r="R233" s="1086">
        <v>0</v>
      </c>
      <c r="S233" s="1086">
        <v>0</v>
      </c>
      <c r="T233" s="1086">
        <v>33395.18</v>
      </c>
      <c r="U233" s="1086">
        <v>42266.65</v>
      </c>
      <c r="V233" s="1086">
        <v>0</v>
      </c>
      <c r="W233" s="1086">
        <v>0</v>
      </c>
      <c r="X233" s="1086">
        <v>38766.699999999997</v>
      </c>
      <c r="Y233" s="1086">
        <v>0</v>
      </c>
      <c r="Z233" s="1086">
        <v>0</v>
      </c>
      <c r="AA233" s="1086">
        <v>55443.26</v>
      </c>
      <c r="AB233" s="1086">
        <v>0</v>
      </c>
      <c r="AC233" s="1086">
        <v>46232.87</v>
      </c>
      <c r="AD233" s="1103" t="s">
        <v>1251</v>
      </c>
      <c r="AE233" s="1086" t="s">
        <v>3880</v>
      </c>
      <c r="AF233" s="1086">
        <f t="shared" si="13"/>
        <v>46232.869999999995</v>
      </c>
      <c r="AG233" s="1086">
        <f t="shared" si="12"/>
        <v>0</v>
      </c>
      <c r="AQ233" s="1086">
        <v>0</v>
      </c>
      <c r="AR233" s="1086">
        <v>0</v>
      </c>
      <c r="AS233" s="1086">
        <v>46232.87</v>
      </c>
      <c r="AT233" s="1086">
        <f t="shared" si="14"/>
        <v>0</v>
      </c>
      <c r="AV233" s="1150">
        <f t="shared" si="15"/>
        <v>322583.74</v>
      </c>
    </row>
    <row r="234" spans="1:48" x14ac:dyDescent="0.2">
      <c r="A234" s="19">
        <v>233</v>
      </c>
      <c r="B234" t="s">
        <v>1534</v>
      </c>
      <c r="C234" t="s">
        <v>1290</v>
      </c>
      <c r="D234" t="s">
        <v>1045</v>
      </c>
      <c r="E234" t="s">
        <v>2176</v>
      </c>
      <c r="F234" t="s">
        <v>2372</v>
      </c>
      <c r="G234" t="s">
        <v>1250</v>
      </c>
      <c r="H234" t="s">
        <v>3823</v>
      </c>
      <c r="I234" t="s">
        <v>3839</v>
      </c>
      <c r="J234" t="s">
        <v>3255</v>
      </c>
      <c r="K234" t="s">
        <v>3455</v>
      </c>
      <c r="L234" t="s">
        <v>2705</v>
      </c>
      <c r="M234" s="1086">
        <v>103556.4</v>
      </c>
      <c r="N234" s="1086">
        <v>30</v>
      </c>
      <c r="O234" s="1086">
        <v>119000</v>
      </c>
      <c r="P234" s="1086">
        <v>0</v>
      </c>
      <c r="Q234" s="1086">
        <v>0</v>
      </c>
      <c r="R234" s="1086">
        <v>0</v>
      </c>
      <c r="S234" s="1086">
        <v>66</v>
      </c>
      <c r="T234" s="1086">
        <v>1.96</v>
      </c>
      <c r="U234" s="1086">
        <v>5628.75</v>
      </c>
      <c r="V234" s="1086">
        <v>100</v>
      </c>
      <c r="W234" s="1086">
        <v>0</v>
      </c>
      <c r="X234" s="1086">
        <v>2369.94</v>
      </c>
      <c r="Y234" s="1086">
        <v>0</v>
      </c>
      <c r="Z234" s="1086">
        <v>0</v>
      </c>
      <c r="AA234" s="1086">
        <v>110000</v>
      </c>
      <c r="AB234" s="1086">
        <v>0</v>
      </c>
      <c r="AC234" s="1086">
        <v>104419.75</v>
      </c>
      <c r="AD234" s="1086" t="s">
        <v>248</v>
      </c>
      <c r="AE234" s="1086" t="s">
        <v>3877</v>
      </c>
      <c r="AF234" s="1086">
        <f t="shared" si="13"/>
        <v>104419.75</v>
      </c>
      <c r="AG234" s="1086">
        <f t="shared" si="12"/>
        <v>0</v>
      </c>
      <c r="AQ234" s="1086">
        <v>0</v>
      </c>
      <c r="AR234" s="1086">
        <v>0</v>
      </c>
      <c r="AS234" s="1086">
        <v>104419.75</v>
      </c>
      <c r="AT234" s="1086">
        <f t="shared" si="14"/>
        <v>0</v>
      </c>
      <c r="AV234" s="1150">
        <f t="shared" si="15"/>
        <v>118166.65</v>
      </c>
    </row>
    <row r="235" spans="1:48" x14ac:dyDescent="0.2">
      <c r="A235" s="19">
        <v>234</v>
      </c>
      <c r="B235" t="s">
        <v>1535</v>
      </c>
      <c r="C235" t="s">
        <v>1290</v>
      </c>
      <c r="D235" t="s">
        <v>1040</v>
      </c>
      <c r="E235" t="s">
        <v>2177</v>
      </c>
      <c r="F235" t="s">
        <v>2373</v>
      </c>
      <c r="G235" t="s">
        <v>1257</v>
      </c>
      <c r="H235" t="s">
        <v>3826</v>
      </c>
      <c r="I235">
        <v>0</v>
      </c>
      <c r="L235" t="s">
        <v>2706</v>
      </c>
      <c r="M235" s="1086">
        <v>93002.52</v>
      </c>
      <c r="N235" s="1086">
        <v>142610</v>
      </c>
      <c r="O235" s="1086">
        <v>5811.06</v>
      </c>
      <c r="P235" s="1086">
        <v>58422.48</v>
      </c>
      <c r="Q235" s="1086">
        <v>10628.34</v>
      </c>
      <c r="R235" s="1086">
        <v>0</v>
      </c>
      <c r="S235" s="1086">
        <v>21901.1</v>
      </c>
      <c r="T235" s="1086">
        <v>26367.37</v>
      </c>
      <c r="U235" s="1086">
        <v>76561.36</v>
      </c>
      <c r="V235" s="1086">
        <v>0</v>
      </c>
      <c r="W235" s="1086">
        <v>174.01</v>
      </c>
      <c r="X235" s="1086">
        <v>688.83</v>
      </c>
      <c r="Y235" s="1086">
        <v>-825</v>
      </c>
      <c r="Z235" s="1086">
        <v>0</v>
      </c>
      <c r="AA235" s="1086">
        <v>4581.32</v>
      </c>
      <c r="AB235" s="1086">
        <v>0</v>
      </c>
      <c r="AC235" s="1086">
        <v>42923.77</v>
      </c>
      <c r="AD235" s="1086" t="s">
        <v>248</v>
      </c>
      <c r="AE235" s="1086" t="s">
        <v>3877</v>
      </c>
      <c r="AF235" s="1086">
        <f t="shared" si="13"/>
        <v>42923.76999999999</v>
      </c>
      <c r="AG235" s="1086">
        <f t="shared" si="12"/>
        <v>0</v>
      </c>
      <c r="AQ235" s="1086">
        <v>0</v>
      </c>
      <c r="AR235" s="1086">
        <v>0</v>
      </c>
      <c r="AS235" s="1086">
        <v>42923.77</v>
      </c>
      <c r="AT235" s="1086">
        <f t="shared" si="14"/>
        <v>0</v>
      </c>
      <c r="AV235" s="1150">
        <f t="shared" si="15"/>
        <v>198499.81000000003</v>
      </c>
    </row>
    <row r="236" spans="1:48" x14ac:dyDescent="0.2">
      <c r="A236" s="19">
        <v>235</v>
      </c>
      <c r="B236" t="s">
        <v>1536</v>
      </c>
      <c r="C236" t="s">
        <v>1290</v>
      </c>
      <c r="D236" t="s">
        <v>1038</v>
      </c>
      <c r="E236" t="s">
        <v>2178</v>
      </c>
      <c r="F236" t="s">
        <v>2374</v>
      </c>
      <c r="G236" t="s">
        <v>1250</v>
      </c>
      <c r="H236" t="s">
        <v>3822</v>
      </c>
      <c r="I236" t="s">
        <v>3839</v>
      </c>
      <c r="J236" t="s">
        <v>3321</v>
      </c>
      <c r="K236" t="s">
        <v>3456</v>
      </c>
      <c r="L236" t="s">
        <v>2707</v>
      </c>
      <c r="M236" s="1086">
        <v>531796.18999999994</v>
      </c>
      <c r="N236" s="1086">
        <v>1223443.1100000001</v>
      </c>
      <c r="O236" s="1086">
        <v>3000</v>
      </c>
      <c r="P236" s="1086">
        <v>203259.09</v>
      </c>
      <c r="Q236" s="1086">
        <v>0</v>
      </c>
      <c r="R236" s="1086">
        <v>49675.49</v>
      </c>
      <c r="S236" s="1086">
        <v>0</v>
      </c>
      <c r="T236" s="1086">
        <v>83986.06</v>
      </c>
      <c r="U236" s="1086">
        <v>15852.42</v>
      </c>
      <c r="V236" s="1086">
        <v>0</v>
      </c>
      <c r="W236" s="1086">
        <v>0</v>
      </c>
      <c r="X236" s="1086">
        <v>2579.2800000000002</v>
      </c>
      <c r="Y236" s="1086">
        <v>0</v>
      </c>
      <c r="Z236" s="1086">
        <v>0</v>
      </c>
      <c r="AA236" s="1086">
        <v>651465.51</v>
      </c>
      <c r="AB236" s="1086">
        <v>0</v>
      </c>
      <c r="AC236" s="1086">
        <v>751421.45</v>
      </c>
      <c r="AD236" s="1086" t="s">
        <v>248</v>
      </c>
      <c r="AE236" s="1086" t="s">
        <v>3877</v>
      </c>
      <c r="AF236" s="1086">
        <f t="shared" si="13"/>
        <v>751421.45</v>
      </c>
      <c r="AG236" s="1086">
        <f t="shared" si="12"/>
        <v>0</v>
      </c>
      <c r="AQ236" s="1086">
        <v>0</v>
      </c>
      <c r="AR236" s="1086">
        <v>0</v>
      </c>
      <c r="AS236" s="1086">
        <v>751421.45</v>
      </c>
      <c r="AT236" s="1086">
        <f t="shared" si="14"/>
        <v>0</v>
      </c>
      <c r="AV236" s="1150">
        <f t="shared" si="15"/>
        <v>1006817.8500000001</v>
      </c>
    </row>
    <row r="237" spans="1:48" x14ac:dyDescent="0.2">
      <c r="A237" s="19">
        <v>236</v>
      </c>
      <c r="B237" t="s">
        <v>1537</v>
      </c>
      <c r="C237" t="s">
        <v>1290</v>
      </c>
      <c r="D237" t="s">
        <v>1038</v>
      </c>
      <c r="E237" t="s">
        <v>2178</v>
      </c>
      <c r="F237" t="s">
        <v>2374</v>
      </c>
      <c r="G237" t="s">
        <v>1250</v>
      </c>
      <c r="H237" t="s">
        <v>3825</v>
      </c>
      <c r="I237" t="s">
        <v>3839</v>
      </c>
      <c r="J237" t="s">
        <v>3321</v>
      </c>
      <c r="K237" t="s">
        <v>3457</v>
      </c>
      <c r="L237" t="s">
        <v>2708</v>
      </c>
      <c r="M237" s="1086">
        <v>82864.460000000006</v>
      </c>
      <c r="N237" s="1086">
        <v>0</v>
      </c>
      <c r="O237" s="1086">
        <v>525000</v>
      </c>
      <c r="P237" s="1086">
        <v>255683.1</v>
      </c>
      <c r="Q237" s="1086">
        <v>0</v>
      </c>
      <c r="R237" s="1086">
        <v>55255.74</v>
      </c>
      <c r="S237" s="1086">
        <v>0</v>
      </c>
      <c r="T237" s="1086">
        <v>88146.48</v>
      </c>
      <c r="U237" s="1086">
        <v>155450.76999999999</v>
      </c>
      <c r="V237" s="1086">
        <v>0</v>
      </c>
      <c r="W237" s="1086">
        <v>0</v>
      </c>
      <c r="X237" s="1086">
        <v>1295.21</v>
      </c>
      <c r="Y237" s="1086">
        <v>-230</v>
      </c>
      <c r="Z237" s="1086">
        <v>0</v>
      </c>
      <c r="AA237" s="1086">
        <v>0</v>
      </c>
      <c r="AB237" s="1086">
        <v>0</v>
      </c>
      <c r="AC237" s="1086">
        <v>52263.16</v>
      </c>
      <c r="AD237" s="1086" t="s">
        <v>248</v>
      </c>
      <c r="AE237" s="1086" t="s">
        <v>3877</v>
      </c>
      <c r="AF237" s="1086">
        <f t="shared" si="13"/>
        <v>52263.160000000033</v>
      </c>
      <c r="AG237" s="1086">
        <f t="shared" si="12"/>
        <v>0</v>
      </c>
      <c r="AQ237" s="1086">
        <v>0</v>
      </c>
      <c r="AR237" s="1086">
        <v>0</v>
      </c>
      <c r="AS237" s="1086">
        <v>52263.16</v>
      </c>
      <c r="AT237" s="1086">
        <f t="shared" si="14"/>
        <v>0</v>
      </c>
      <c r="AV237" s="1150">
        <f t="shared" si="15"/>
        <v>555601.29999999993</v>
      </c>
    </row>
    <row r="238" spans="1:48" x14ac:dyDescent="0.2">
      <c r="A238" s="19">
        <v>237</v>
      </c>
      <c r="B238" t="s">
        <v>1538</v>
      </c>
      <c r="C238" t="s">
        <v>1290</v>
      </c>
      <c r="D238" t="s">
        <v>1038</v>
      </c>
      <c r="E238" t="s">
        <v>2178</v>
      </c>
      <c r="F238" t="s">
        <v>2374</v>
      </c>
      <c r="G238" t="s">
        <v>1250</v>
      </c>
      <c r="H238" t="s">
        <v>3825</v>
      </c>
      <c r="I238" t="s">
        <v>3839</v>
      </c>
      <c r="J238" t="s">
        <v>3321</v>
      </c>
      <c r="K238" t="s">
        <v>3458</v>
      </c>
      <c r="L238" t="s">
        <v>2709</v>
      </c>
      <c r="M238" s="1086">
        <v>121825.32</v>
      </c>
      <c r="N238" s="1086">
        <v>0</v>
      </c>
      <c r="O238" s="1086">
        <v>448071.49</v>
      </c>
      <c r="P238" s="1086">
        <v>141957</v>
      </c>
      <c r="Q238" s="1086">
        <v>0</v>
      </c>
      <c r="R238" s="1086">
        <v>117258.95</v>
      </c>
      <c r="S238" s="1086">
        <v>34771.08</v>
      </c>
      <c r="T238" s="1086">
        <v>101881.24</v>
      </c>
      <c r="U238" s="1086">
        <v>15914.42</v>
      </c>
      <c r="V238" s="1086">
        <v>0</v>
      </c>
      <c r="W238" s="1086">
        <v>0</v>
      </c>
      <c r="X238" s="1086">
        <v>75.150000000000006</v>
      </c>
      <c r="Y238" s="1086">
        <v>0</v>
      </c>
      <c r="Z238" s="1086">
        <v>0</v>
      </c>
      <c r="AA238" s="1086">
        <v>45945.19</v>
      </c>
      <c r="AB238" s="1086">
        <v>0</v>
      </c>
      <c r="AC238" s="1086">
        <v>112093.78</v>
      </c>
      <c r="AD238" s="1086" t="s">
        <v>248</v>
      </c>
      <c r="AE238" s="1086" t="s">
        <v>3877</v>
      </c>
      <c r="AF238" s="1086">
        <f t="shared" si="13"/>
        <v>112093.78000000003</v>
      </c>
      <c r="AG238" s="1086">
        <f t="shared" si="12"/>
        <v>0</v>
      </c>
      <c r="AQ238" s="1086">
        <v>0</v>
      </c>
      <c r="AR238" s="1086">
        <v>0</v>
      </c>
      <c r="AS238" s="1086">
        <v>112093.78</v>
      </c>
      <c r="AT238" s="1086">
        <f t="shared" si="14"/>
        <v>0</v>
      </c>
      <c r="AV238" s="1150">
        <f t="shared" si="15"/>
        <v>457803.03</v>
      </c>
    </row>
    <row r="239" spans="1:48" x14ac:dyDescent="0.2">
      <c r="A239" s="19">
        <v>238</v>
      </c>
      <c r="B239" t="s">
        <v>1539</v>
      </c>
      <c r="C239" t="s">
        <v>1290</v>
      </c>
      <c r="D239" t="s">
        <v>1038</v>
      </c>
      <c r="E239" t="s">
        <v>2178</v>
      </c>
      <c r="F239" t="s">
        <v>2374</v>
      </c>
      <c r="G239" t="s">
        <v>1250</v>
      </c>
      <c r="H239" t="s">
        <v>3824</v>
      </c>
      <c r="I239" t="s">
        <v>3839</v>
      </c>
      <c r="J239" t="s">
        <v>3321</v>
      </c>
      <c r="K239" t="s">
        <v>3459</v>
      </c>
      <c r="L239" t="s">
        <v>2710</v>
      </c>
      <c r="M239" s="1086">
        <v>23747.63</v>
      </c>
      <c r="N239" s="1086">
        <v>5865</v>
      </c>
      <c r="O239" s="1086">
        <v>20000</v>
      </c>
      <c r="P239" s="1086">
        <v>77278.2</v>
      </c>
      <c r="Q239" s="1086">
        <v>0</v>
      </c>
      <c r="R239" s="1086">
        <v>0</v>
      </c>
      <c r="S239" s="1086">
        <v>79066.070000000007</v>
      </c>
      <c r="T239" s="1086">
        <v>32785.94</v>
      </c>
      <c r="U239" s="1086">
        <v>20308.89</v>
      </c>
      <c r="V239" s="1086">
        <v>0</v>
      </c>
      <c r="W239" s="1086">
        <v>0</v>
      </c>
      <c r="X239" s="1086">
        <v>0</v>
      </c>
      <c r="Y239" s="1086">
        <v>-228877.14</v>
      </c>
      <c r="Z239" s="1086">
        <v>0</v>
      </c>
      <c r="AA239" s="1086">
        <v>716.58</v>
      </c>
      <c r="AB239" s="1086">
        <v>0</v>
      </c>
      <c r="AC239" s="1086">
        <v>68334.09</v>
      </c>
      <c r="AD239" s="1086" t="s">
        <v>248</v>
      </c>
      <c r="AE239" s="1086" t="s">
        <v>3877</v>
      </c>
      <c r="AF239" s="1086">
        <f t="shared" si="13"/>
        <v>68334.089999999982</v>
      </c>
      <c r="AG239" s="1086">
        <f t="shared" si="12"/>
        <v>0</v>
      </c>
      <c r="AQ239" s="1086">
        <v>0</v>
      </c>
      <c r="AR239" s="1086">
        <v>0</v>
      </c>
      <c r="AS239" s="1086">
        <v>68334.09</v>
      </c>
      <c r="AT239" s="1086">
        <f t="shared" si="14"/>
        <v>0</v>
      </c>
      <c r="AV239" s="1150">
        <f t="shared" si="15"/>
        <v>-18721.459999999977</v>
      </c>
    </row>
    <row r="240" spans="1:48" x14ac:dyDescent="0.2">
      <c r="A240" s="19">
        <v>239</v>
      </c>
      <c r="B240" t="s">
        <v>1540</v>
      </c>
      <c r="C240" t="s">
        <v>1290</v>
      </c>
      <c r="D240" t="s">
        <v>1050</v>
      </c>
      <c r="E240" t="s">
        <v>2179</v>
      </c>
      <c r="F240" t="s">
        <v>2375</v>
      </c>
      <c r="G240" t="s">
        <v>1250</v>
      </c>
      <c r="H240" t="s">
        <v>3822</v>
      </c>
      <c r="I240" t="s">
        <v>3839</v>
      </c>
      <c r="J240" t="s">
        <v>3272</v>
      </c>
      <c r="K240" t="s">
        <v>3460</v>
      </c>
      <c r="L240" t="s">
        <v>2711</v>
      </c>
      <c r="M240" s="1086">
        <v>242.26</v>
      </c>
      <c r="N240" s="1086">
        <v>0</v>
      </c>
      <c r="O240" s="1086">
        <v>0</v>
      </c>
      <c r="P240" s="1086">
        <v>0</v>
      </c>
      <c r="Q240" s="1086">
        <v>0</v>
      </c>
      <c r="R240" s="1086">
        <v>0</v>
      </c>
      <c r="S240" s="1086">
        <v>0</v>
      </c>
      <c r="T240" s="1086">
        <v>0</v>
      </c>
      <c r="U240" s="1086">
        <v>154.02000000000001</v>
      </c>
      <c r="V240" s="1086">
        <v>0</v>
      </c>
      <c r="W240" s="1086">
        <v>0</v>
      </c>
      <c r="X240" s="1086">
        <v>0</v>
      </c>
      <c r="Y240" s="1086">
        <v>0</v>
      </c>
      <c r="Z240" s="1086">
        <v>0</v>
      </c>
      <c r="AA240" s="1086">
        <v>0</v>
      </c>
      <c r="AB240" s="1086">
        <v>0</v>
      </c>
      <c r="AC240" s="1086">
        <v>88.24</v>
      </c>
      <c r="AD240" s="1086" t="s">
        <v>248</v>
      </c>
      <c r="AE240" s="1086" t="s">
        <v>3877</v>
      </c>
      <c r="AF240" s="1086">
        <f t="shared" si="13"/>
        <v>88.239999999999981</v>
      </c>
      <c r="AG240" s="1086">
        <f t="shared" si="12"/>
        <v>0</v>
      </c>
      <c r="AQ240" s="1086">
        <v>0</v>
      </c>
      <c r="AR240" s="1086">
        <v>0</v>
      </c>
      <c r="AS240" s="1086">
        <v>88.24</v>
      </c>
      <c r="AT240" s="1086">
        <f t="shared" si="14"/>
        <v>0</v>
      </c>
      <c r="AV240" s="1150">
        <f t="shared" si="15"/>
        <v>154.02000000000001</v>
      </c>
    </row>
    <row r="241" spans="1:48" x14ac:dyDescent="0.2">
      <c r="A241" s="19">
        <v>240</v>
      </c>
      <c r="B241" t="s">
        <v>1541</v>
      </c>
      <c r="C241" t="s">
        <v>1290</v>
      </c>
      <c r="D241" t="s">
        <v>1027</v>
      </c>
      <c r="E241" t="s">
        <v>2180</v>
      </c>
      <c r="F241" t="s">
        <v>2376</v>
      </c>
      <c r="G241" t="s">
        <v>1254</v>
      </c>
      <c r="H241" t="s">
        <v>3823</v>
      </c>
      <c r="I241" t="s">
        <v>3839</v>
      </c>
      <c r="J241" t="s">
        <v>3246</v>
      </c>
      <c r="K241" t="s">
        <v>3461</v>
      </c>
      <c r="L241" t="s">
        <v>2712</v>
      </c>
      <c r="M241" s="1086">
        <v>592296.56000000006</v>
      </c>
      <c r="N241" s="1086">
        <v>43383.5</v>
      </c>
      <c r="O241" s="1086">
        <v>327760.15999999997</v>
      </c>
      <c r="P241" s="1086">
        <v>468143.67</v>
      </c>
      <c r="Q241" s="1086">
        <v>0</v>
      </c>
      <c r="R241" s="1086">
        <v>0</v>
      </c>
      <c r="S241" s="1086">
        <v>5388</v>
      </c>
      <c r="T241" s="1086">
        <v>154753.10999999999</v>
      </c>
      <c r="U241" s="1086">
        <v>97633.13</v>
      </c>
      <c r="V241" s="1086">
        <v>0</v>
      </c>
      <c r="W241" s="1086">
        <v>0</v>
      </c>
      <c r="X241" s="1086">
        <v>90</v>
      </c>
      <c r="Y241" s="1086">
        <v>0</v>
      </c>
      <c r="Z241" s="1086">
        <v>0</v>
      </c>
      <c r="AA241" s="1086">
        <v>1619.47</v>
      </c>
      <c r="AB241" s="1086">
        <v>0</v>
      </c>
      <c r="AC241" s="1086">
        <v>235812.84</v>
      </c>
      <c r="AD241" s="1086" t="s">
        <v>248</v>
      </c>
      <c r="AE241" s="1086" t="s">
        <v>3877</v>
      </c>
      <c r="AF241" s="1086">
        <f t="shared" si="13"/>
        <v>235812.83999999997</v>
      </c>
      <c r="AG241" s="1086">
        <f t="shared" si="12"/>
        <v>0</v>
      </c>
      <c r="AQ241" s="1086">
        <v>0</v>
      </c>
      <c r="AR241" s="1086">
        <v>0</v>
      </c>
      <c r="AS241" s="1086">
        <v>235812.84</v>
      </c>
      <c r="AT241" s="1086">
        <f t="shared" si="14"/>
        <v>0</v>
      </c>
      <c r="AV241" s="1150">
        <f t="shared" si="15"/>
        <v>727627.38</v>
      </c>
    </row>
    <row r="242" spans="1:48" x14ac:dyDescent="0.2">
      <c r="A242" s="19">
        <v>241</v>
      </c>
      <c r="B242" t="s">
        <v>1542</v>
      </c>
      <c r="C242" t="s">
        <v>1290</v>
      </c>
      <c r="D242" t="s">
        <v>1027</v>
      </c>
      <c r="E242" t="s">
        <v>2180</v>
      </c>
      <c r="F242" t="s">
        <v>2376</v>
      </c>
      <c r="G242" t="s">
        <v>1254</v>
      </c>
      <c r="H242" t="s">
        <v>3827</v>
      </c>
      <c r="I242" t="s">
        <v>3839</v>
      </c>
      <c r="J242" t="s">
        <v>3246</v>
      </c>
      <c r="K242" t="s">
        <v>3462</v>
      </c>
      <c r="L242" t="s">
        <v>2713</v>
      </c>
      <c r="M242" s="1086">
        <v>34866.17</v>
      </c>
      <c r="N242" s="1086">
        <v>0</v>
      </c>
      <c r="O242" s="1086">
        <v>0</v>
      </c>
      <c r="P242" s="1086">
        <v>7419.19</v>
      </c>
      <c r="Q242" s="1086">
        <v>0</v>
      </c>
      <c r="R242" s="1086">
        <v>0</v>
      </c>
      <c r="S242" s="1086">
        <v>0</v>
      </c>
      <c r="T242" s="1086">
        <v>422.88</v>
      </c>
      <c r="U242" s="1086">
        <v>0</v>
      </c>
      <c r="V242" s="1086">
        <v>0</v>
      </c>
      <c r="W242" s="1086">
        <v>0</v>
      </c>
      <c r="X242" s="1086">
        <v>0</v>
      </c>
      <c r="Y242" s="1086">
        <v>0</v>
      </c>
      <c r="Z242" s="1086">
        <v>0</v>
      </c>
      <c r="AA242" s="1086">
        <v>0</v>
      </c>
      <c r="AB242" s="1086">
        <v>0</v>
      </c>
      <c r="AC242" s="1086">
        <v>27024.1</v>
      </c>
      <c r="AD242" s="1086" t="s">
        <v>248</v>
      </c>
      <c r="AE242" s="1086" t="s">
        <v>3877</v>
      </c>
      <c r="AF242" s="1086">
        <f t="shared" si="13"/>
        <v>27024.1</v>
      </c>
      <c r="AG242" s="1086">
        <f t="shared" si="12"/>
        <v>0</v>
      </c>
      <c r="AQ242" s="1086">
        <v>0</v>
      </c>
      <c r="AR242" s="1086">
        <v>0</v>
      </c>
      <c r="AS242" s="1086">
        <v>27024.1</v>
      </c>
      <c r="AT242" s="1086">
        <f t="shared" si="14"/>
        <v>0</v>
      </c>
      <c r="AV242" s="1150">
        <f t="shared" si="15"/>
        <v>7842.07</v>
      </c>
    </row>
    <row r="243" spans="1:48" x14ac:dyDescent="0.2">
      <c r="A243" s="19">
        <v>242</v>
      </c>
      <c r="B243" t="s">
        <v>1543</v>
      </c>
      <c r="C243" t="s">
        <v>1290</v>
      </c>
      <c r="D243" t="s">
        <v>1040</v>
      </c>
      <c r="E243" t="s">
        <v>2181</v>
      </c>
      <c r="F243" t="s">
        <v>2377</v>
      </c>
      <c r="G243" t="s">
        <v>1257</v>
      </c>
      <c r="H243" t="s">
        <v>3826</v>
      </c>
      <c r="I243" t="s">
        <v>3839</v>
      </c>
      <c r="J243" t="s">
        <v>3463</v>
      </c>
      <c r="K243" t="s">
        <v>3464</v>
      </c>
      <c r="L243" t="s">
        <v>2714</v>
      </c>
      <c r="M243" s="1086">
        <v>77217.850000000006</v>
      </c>
      <c r="N243" s="1086">
        <v>57844</v>
      </c>
      <c r="O243" s="1086">
        <v>0</v>
      </c>
      <c r="P243" s="1086">
        <v>9452.02</v>
      </c>
      <c r="Q243" s="1086">
        <v>0</v>
      </c>
      <c r="R243" s="1086">
        <v>0</v>
      </c>
      <c r="S243" s="1086">
        <v>0</v>
      </c>
      <c r="T243" s="1086">
        <v>3683.41</v>
      </c>
      <c r="U243" s="1086">
        <v>13521.18</v>
      </c>
      <c r="V243" s="1086">
        <v>0</v>
      </c>
      <c r="W243" s="1086">
        <v>1694.07</v>
      </c>
      <c r="X243" s="1086">
        <v>19173.16</v>
      </c>
      <c r="Y243" s="1086">
        <v>0</v>
      </c>
      <c r="Z243" s="1086">
        <v>0</v>
      </c>
      <c r="AA243" s="1086">
        <v>2159.29</v>
      </c>
      <c r="AB243" s="1086">
        <v>0</v>
      </c>
      <c r="AC243" s="1086">
        <v>85378.72</v>
      </c>
      <c r="AD243" s="1086" t="s">
        <v>248</v>
      </c>
      <c r="AE243" s="1086" t="s">
        <v>3877</v>
      </c>
      <c r="AF243" s="1086">
        <f t="shared" si="13"/>
        <v>85378.72</v>
      </c>
      <c r="AG243" s="1086">
        <f t="shared" si="12"/>
        <v>0</v>
      </c>
      <c r="AQ243" s="1086">
        <v>0</v>
      </c>
      <c r="AR243" s="1086">
        <v>0</v>
      </c>
      <c r="AS243" s="1086">
        <v>85378.72</v>
      </c>
      <c r="AT243" s="1086">
        <f t="shared" si="14"/>
        <v>0</v>
      </c>
      <c r="AV243" s="1150">
        <f t="shared" si="15"/>
        <v>49683.13</v>
      </c>
    </row>
    <row r="244" spans="1:48" x14ac:dyDescent="0.2">
      <c r="A244" s="19">
        <v>243</v>
      </c>
      <c r="B244" t="s">
        <v>1544</v>
      </c>
      <c r="C244" t="s">
        <v>1290</v>
      </c>
      <c r="D244" t="s">
        <v>1056</v>
      </c>
      <c r="E244" t="s">
        <v>2182</v>
      </c>
      <c r="F244" t="s">
        <v>2378</v>
      </c>
      <c r="G244" t="s">
        <v>1256</v>
      </c>
      <c r="H244" t="s">
        <v>3828</v>
      </c>
      <c r="I244" t="s">
        <v>3839</v>
      </c>
      <c r="J244" t="s">
        <v>3465</v>
      </c>
      <c r="K244" t="s">
        <v>3466</v>
      </c>
      <c r="L244" t="s">
        <v>2715</v>
      </c>
      <c r="M244" s="1086">
        <v>80874.399999999994</v>
      </c>
      <c r="N244" s="1086">
        <v>208276.65</v>
      </c>
      <c r="O244" s="1086">
        <v>0</v>
      </c>
      <c r="P244" s="1086">
        <v>0</v>
      </c>
      <c r="Q244" s="1086">
        <v>0</v>
      </c>
      <c r="R244" s="1086">
        <v>32198.09</v>
      </c>
      <c r="S244" s="1086">
        <v>0</v>
      </c>
      <c r="T244" s="1086">
        <v>15286.6</v>
      </c>
      <c r="U244" s="1086">
        <v>153504.65</v>
      </c>
      <c r="V244" s="1086">
        <v>0</v>
      </c>
      <c r="W244" s="1086">
        <v>0</v>
      </c>
      <c r="X244" s="1086">
        <v>0</v>
      </c>
      <c r="Y244" s="1086">
        <v>0</v>
      </c>
      <c r="Z244" s="1086">
        <v>0</v>
      </c>
      <c r="AA244" s="1086">
        <v>68938.429999999993</v>
      </c>
      <c r="AB244" s="1086">
        <v>0</v>
      </c>
      <c r="AC244" s="1086">
        <v>19223.28</v>
      </c>
      <c r="AD244" s="1086" t="s">
        <v>248</v>
      </c>
      <c r="AE244" s="1086" t="s">
        <v>3877</v>
      </c>
      <c r="AF244" s="1086">
        <f t="shared" si="13"/>
        <v>19223.27999999997</v>
      </c>
      <c r="AG244" s="1086">
        <f t="shared" si="12"/>
        <v>2.9103830456733704E-11</v>
      </c>
      <c r="AQ244" s="1086">
        <v>0</v>
      </c>
      <c r="AR244" s="1086">
        <v>0</v>
      </c>
      <c r="AS244" s="1086">
        <v>19223.28</v>
      </c>
      <c r="AT244" s="1086">
        <f t="shared" si="14"/>
        <v>0</v>
      </c>
      <c r="AV244" s="1150">
        <f t="shared" si="15"/>
        <v>269927.77</v>
      </c>
    </row>
    <row r="245" spans="1:48" x14ac:dyDescent="0.2">
      <c r="A245" s="19">
        <v>244</v>
      </c>
      <c r="B245" t="s">
        <v>1545</v>
      </c>
      <c r="C245" t="s">
        <v>1290</v>
      </c>
      <c r="D245" t="s">
        <v>1056</v>
      </c>
      <c r="E245" t="s">
        <v>2182</v>
      </c>
      <c r="F245" t="s">
        <v>2378</v>
      </c>
      <c r="G245" t="s">
        <v>1256</v>
      </c>
      <c r="H245" t="s">
        <v>3828</v>
      </c>
      <c r="I245" t="s">
        <v>3839</v>
      </c>
      <c r="J245" t="s">
        <v>3465</v>
      </c>
      <c r="K245" t="s">
        <v>3467</v>
      </c>
      <c r="L245" t="s">
        <v>2716</v>
      </c>
      <c r="M245" s="1086">
        <v>247855.11</v>
      </c>
      <c r="N245" s="1086">
        <v>0</v>
      </c>
      <c r="O245" s="1086">
        <v>0</v>
      </c>
      <c r="P245" s="1086">
        <v>0</v>
      </c>
      <c r="Q245" s="1086">
        <v>0</v>
      </c>
      <c r="R245" s="1086">
        <v>89564.83</v>
      </c>
      <c r="S245" s="1086">
        <v>5873</v>
      </c>
      <c r="T245" s="1086">
        <v>41929.550000000003</v>
      </c>
      <c r="U245" s="1086">
        <v>220897.29</v>
      </c>
      <c r="V245" s="1086">
        <v>0</v>
      </c>
      <c r="W245" s="1086">
        <v>0</v>
      </c>
      <c r="X245" s="1086">
        <v>0</v>
      </c>
      <c r="Y245" s="1086">
        <v>-309142.81</v>
      </c>
      <c r="Z245" s="1086">
        <v>0</v>
      </c>
      <c r="AA245" s="1086">
        <v>0</v>
      </c>
      <c r="AB245" s="1086">
        <v>0</v>
      </c>
      <c r="AC245" s="1086">
        <v>198733.25</v>
      </c>
      <c r="AD245" s="1086" t="s">
        <v>248</v>
      </c>
      <c r="AE245" s="1086" t="s">
        <v>3877</v>
      </c>
      <c r="AF245" s="1086">
        <f t="shared" si="13"/>
        <v>198733.24999999994</v>
      </c>
      <c r="AG245" s="1086">
        <f t="shared" si="12"/>
        <v>0</v>
      </c>
      <c r="AQ245" s="1086">
        <v>0</v>
      </c>
      <c r="AR245" s="1086">
        <v>0</v>
      </c>
      <c r="AS245" s="1086">
        <v>198733.25</v>
      </c>
      <c r="AT245" s="1086">
        <f t="shared" si="14"/>
        <v>0</v>
      </c>
      <c r="AV245" s="1150">
        <f t="shared" si="15"/>
        <v>49121.860000000044</v>
      </c>
    </row>
    <row r="246" spans="1:48" x14ac:dyDescent="0.2">
      <c r="A246" s="19">
        <v>245</v>
      </c>
      <c r="B246" t="s">
        <v>1546</v>
      </c>
      <c r="C246" t="s">
        <v>1290</v>
      </c>
      <c r="D246" t="s">
        <v>1056</v>
      </c>
      <c r="E246" t="s">
        <v>2182</v>
      </c>
      <c r="F246" t="s">
        <v>2378</v>
      </c>
      <c r="G246" t="s">
        <v>1256</v>
      </c>
      <c r="H246" t="s">
        <v>3828</v>
      </c>
      <c r="I246" t="s">
        <v>3839</v>
      </c>
      <c r="J246" t="s">
        <v>3465</v>
      </c>
      <c r="K246" t="s">
        <v>3468</v>
      </c>
      <c r="L246" t="s">
        <v>2717</v>
      </c>
      <c r="M246" s="1086">
        <v>54231.38</v>
      </c>
      <c r="N246" s="1086">
        <v>0</v>
      </c>
      <c r="O246" s="1086">
        <v>0</v>
      </c>
      <c r="P246" s="1086">
        <v>0</v>
      </c>
      <c r="Q246" s="1086">
        <v>0</v>
      </c>
      <c r="R246" s="1086">
        <v>234491.09</v>
      </c>
      <c r="S246" s="1086">
        <v>0</v>
      </c>
      <c r="T246" s="1086">
        <v>79810.070000000007</v>
      </c>
      <c r="U246" s="1086">
        <v>2444.8200000000002</v>
      </c>
      <c r="V246" s="1086">
        <v>0</v>
      </c>
      <c r="W246" s="1086">
        <v>0</v>
      </c>
      <c r="X246" s="1086">
        <v>0</v>
      </c>
      <c r="Y246" s="1086">
        <v>-401995.19</v>
      </c>
      <c r="Z246" s="1086">
        <v>0</v>
      </c>
      <c r="AA246" s="1086">
        <v>0</v>
      </c>
      <c r="AB246" s="1086">
        <v>0</v>
      </c>
      <c r="AC246" s="1086">
        <v>139480.59</v>
      </c>
      <c r="AD246" s="1086" t="s">
        <v>248</v>
      </c>
      <c r="AE246" s="1086" t="s">
        <v>3877</v>
      </c>
      <c r="AF246" s="1086">
        <f t="shared" si="13"/>
        <v>139480.58999999997</v>
      </c>
      <c r="AG246" s="1086">
        <f t="shared" si="12"/>
        <v>0</v>
      </c>
      <c r="AQ246" s="1086">
        <v>0</v>
      </c>
      <c r="AR246" s="1086">
        <v>0</v>
      </c>
      <c r="AS246" s="1086">
        <v>139480.59</v>
      </c>
      <c r="AT246" s="1086">
        <f t="shared" si="14"/>
        <v>0</v>
      </c>
      <c r="AV246" s="1150">
        <f t="shared" si="15"/>
        <v>-85249.209999999963</v>
      </c>
    </row>
    <row r="247" spans="1:48" x14ac:dyDescent="0.2">
      <c r="A247" s="19">
        <v>246</v>
      </c>
      <c r="B247" t="s">
        <v>1547</v>
      </c>
      <c r="C247" t="s">
        <v>1290</v>
      </c>
      <c r="D247" t="s">
        <v>1056</v>
      </c>
      <c r="E247" t="s">
        <v>2182</v>
      </c>
      <c r="F247" t="s">
        <v>2378</v>
      </c>
      <c r="G247" t="s">
        <v>1256</v>
      </c>
      <c r="H247" t="s">
        <v>3828</v>
      </c>
      <c r="I247" t="s">
        <v>3839</v>
      </c>
      <c r="J247" t="s">
        <v>3465</v>
      </c>
      <c r="K247" t="s">
        <v>3469</v>
      </c>
      <c r="L247" t="s">
        <v>2718</v>
      </c>
      <c r="M247" s="1086">
        <v>103082.25</v>
      </c>
      <c r="N247" s="1086">
        <v>57340.57</v>
      </c>
      <c r="O247" s="1086">
        <v>23000</v>
      </c>
      <c r="P247" s="1086">
        <v>3442.5</v>
      </c>
      <c r="Q247" s="1086">
        <v>0</v>
      </c>
      <c r="R247" s="1086">
        <v>0</v>
      </c>
      <c r="S247" s="1086">
        <v>2002.19</v>
      </c>
      <c r="T247" s="1086">
        <v>164.19</v>
      </c>
      <c r="U247" s="1086">
        <v>16113.63</v>
      </c>
      <c r="V247" s="1086">
        <v>0</v>
      </c>
      <c r="W247" s="1086">
        <v>0</v>
      </c>
      <c r="X247" s="1086">
        <v>5270.84</v>
      </c>
      <c r="Y247" s="1086">
        <v>0</v>
      </c>
      <c r="Z247" s="1086">
        <v>0</v>
      </c>
      <c r="AA247" s="1086">
        <v>1981.24</v>
      </c>
      <c r="AB247" s="1086">
        <v>0</v>
      </c>
      <c r="AC247" s="1086">
        <v>154448.23000000001</v>
      </c>
      <c r="AD247" s="1086" t="s">
        <v>248</v>
      </c>
      <c r="AE247" s="1086" t="s">
        <v>3877</v>
      </c>
      <c r="AF247" s="1086">
        <f t="shared" si="13"/>
        <v>154448.23000000001</v>
      </c>
      <c r="AG247" s="1086">
        <f t="shared" si="12"/>
        <v>0</v>
      </c>
      <c r="AQ247" s="1086">
        <v>0</v>
      </c>
      <c r="AR247" s="1086">
        <v>0</v>
      </c>
      <c r="AS247" s="1086">
        <v>154448.23000000001</v>
      </c>
      <c r="AT247" s="1086">
        <f t="shared" si="14"/>
        <v>0</v>
      </c>
      <c r="AV247" s="1150">
        <f t="shared" si="15"/>
        <v>28974.59</v>
      </c>
    </row>
    <row r="248" spans="1:48" x14ac:dyDescent="0.2">
      <c r="A248" s="19">
        <v>247</v>
      </c>
      <c r="B248" t="s">
        <v>1548</v>
      </c>
      <c r="C248" t="s">
        <v>1290</v>
      </c>
      <c r="D248" t="s">
        <v>1056</v>
      </c>
      <c r="E248" t="s">
        <v>2182</v>
      </c>
      <c r="F248" t="s">
        <v>2378</v>
      </c>
      <c r="G248" t="s">
        <v>1256</v>
      </c>
      <c r="H248" t="s">
        <v>3828</v>
      </c>
      <c r="I248" t="s">
        <v>3839</v>
      </c>
      <c r="J248" t="s">
        <v>3465</v>
      </c>
      <c r="K248" t="s">
        <v>3470</v>
      </c>
      <c r="L248" t="s">
        <v>2719</v>
      </c>
      <c r="M248" s="1086">
        <v>142495.76</v>
      </c>
      <c r="N248" s="1086">
        <v>0</v>
      </c>
      <c r="O248" s="1086">
        <v>230033</v>
      </c>
      <c r="P248" s="1086">
        <v>0</v>
      </c>
      <c r="Q248" s="1086">
        <v>0</v>
      </c>
      <c r="R248" s="1086">
        <v>69184.11</v>
      </c>
      <c r="S248" s="1086">
        <v>0</v>
      </c>
      <c r="T248" s="1086">
        <v>20957.07</v>
      </c>
      <c r="U248" s="1086">
        <v>204376.88</v>
      </c>
      <c r="V248" s="1086">
        <v>0</v>
      </c>
      <c r="W248" s="1086">
        <v>0</v>
      </c>
      <c r="X248" s="1086">
        <v>0</v>
      </c>
      <c r="Y248" s="1086">
        <v>0</v>
      </c>
      <c r="Z248" s="1086">
        <v>0</v>
      </c>
      <c r="AA248" s="1086">
        <v>0</v>
      </c>
      <c r="AB248" s="1086">
        <v>0</v>
      </c>
      <c r="AC248" s="1086">
        <v>78010.7</v>
      </c>
      <c r="AD248" s="1086" t="s">
        <v>248</v>
      </c>
      <c r="AE248" s="1086" t="s">
        <v>3877</v>
      </c>
      <c r="AF248" s="1086">
        <f t="shared" si="13"/>
        <v>78010.700000000012</v>
      </c>
      <c r="AG248" s="1086">
        <f t="shared" si="12"/>
        <v>0</v>
      </c>
      <c r="AQ248" s="1086">
        <v>0</v>
      </c>
      <c r="AR248" s="1086">
        <v>0</v>
      </c>
      <c r="AS248" s="1086">
        <v>78010.7</v>
      </c>
      <c r="AT248" s="1086">
        <f t="shared" si="14"/>
        <v>0</v>
      </c>
      <c r="AV248" s="1150">
        <f t="shared" si="15"/>
        <v>294518.06</v>
      </c>
    </row>
    <row r="249" spans="1:48" x14ac:dyDescent="0.2">
      <c r="A249" s="19">
        <v>248</v>
      </c>
      <c r="B249" t="s">
        <v>1549</v>
      </c>
      <c r="C249" t="s">
        <v>1290</v>
      </c>
      <c r="D249" t="s">
        <v>1056</v>
      </c>
      <c r="E249" t="s">
        <v>2182</v>
      </c>
      <c r="F249" t="s">
        <v>2378</v>
      </c>
      <c r="G249" t="s">
        <v>1256</v>
      </c>
      <c r="H249" t="s">
        <v>3828</v>
      </c>
      <c r="I249" t="s">
        <v>3839</v>
      </c>
      <c r="J249" t="s">
        <v>3465</v>
      </c>
      <c r="K249" t="s">
        <v>3471</v>
      </c>
      <c r="L249" t="s">
        <v>2720</v>
      </c>
      <c r="M249" s="1086">
        <v>130941.86</v>
      </c>
      <c r="N249" s="1086">
        <v>32261.24</v>
      </c>
      <c r="O249" s="1086">
        <v>78000</v>
      </c>
      <c r="P249" s="1086">
        <v>0</v>
      </c>
      <c r="Q249" s="1086">
        <v>0</v>
      </c>
      <c r="R249" s="1086">
        <v>0</v>
      </c>
      <c r="S249" s="1086">
        <v>0</v>
      </c>
      <c r="T249" s="1086">
        <v>0</v>
      </c>
      <c r="U249" s="1086">
        <v>54088.19</v>
      </c>
      <c r="V249" s="1086">
        <v>0</v>
      </c>
      <c r="W249" s="1086">
        <v>0</v>
      </c>
      <c r="X249" s="1086">
        <v>0</v>
      </c>
      <c r="Y249" s="1086">
        <v>0</v>
      </c>
      <c r="Z249" s="1086">
        <v>0</v>
      </c>
      <c r="AA249" s="1086">
        <v>1129.1400000000001</v>
      </c>
      <c r="AB249" s="1086">
        <v>0</v>
      </c>
      <c r="AC249" s="1086">
        <v>185985.77</v>
      </c>
      <c r="AD249" s="1086" t="s">
        <v>248</v>
      </c>
      <c r="AE249" s="1086" t="s">
        <v>3877</v>
      </c>
      <c r="AF249" s="1086">
        <f t="shared" si="13"/>
        <v>185985.77000000002</v>
      </c>
      <c r="AG249" s="1086">
        <f t="shared" si="12"/>
        <v>0</v>
      </c>
      <c r="AQ249" s="1086">
        <v>0</v>
      </c>
      <c r="AR249" s="1086">
        <v>0</v>
      </c>
      <c r="AS249" s="1086">
        <v>185985.77</v>
      </c>
      <c r="AT249" s="1086">
        <f t="shared" si="14"/>
        <v>0</v>
      </c>
      <c r="AV249" s="1150">
        <f t="shared" si="15"/>
        <v>55217.33</v>
      </c>
    </row>
    <row r="250" spans="1:48" x14ac:dyDescent="0.2">
      <c r="A250" s="19">
        <v>249</v>
      </c>
      <c r="B250" t="s">
        <v>1550</v>
      </c>
      <c r="C250" t="s">
        <v>1290</v>
      </c>
      <c r="D250" t="s">
        <v>1056</v>
      </c>
      <c r="E250" t="s">
        <v>2182</v>
      </c>
      <c r="F250" t="s">
        <v>2378</v>
      </c>
      <c r="G250" t="s">
        <v>1256</v>
      </c>
      <c r="H250" t="s">
        <v>3828</v>
      </c>
      <c r="I250" t="s">
        <v>3839</v>
      </c>
      <c r="J250" t="s">
        <v>3465</v>
      </c>
      <c r="K250" t="s">
        <v>3472</v>
      </c>
      <c r="L250" t="s">
        <v>2721</v>
      </c>
      <c r="M250" s="1086">
        <v>296652.38</v>
      </c>
      <c r="N250" s="1086">
        <v>0</v>
      </c>
      <c r="O250" s="1086">
        <v>207400</v>
      </c>
      <c r="P250" s="1086">
        <v>0</v>
      </c>
      <c r="Q250" s="1086">
        <v>0</v>
      </c>
      <c r="R250" s="1086">
        <v>107726.53</v>
      </c>
      <c r="S250" s="1086">
        <v>33081.160000000003</v>
      </c>
      <c r="T250" s="1086">
        <v>38583.199999999997</v>
      </c>
      <c r="U250" s="1086">
        <v>1590417</v>
      </c>
      <c r="V250" s="1086">
        <v>0</v>
      </c>
      <c r="W250" s="1086">
        <v>0</v>
      </c>
      <c r="X250" s="1086">
        <v>0</v>
      </c>
      <c r="Y250" s="1086">
        <v>-1870924.43</v>
      </c>
      <c r="Z250" s="1086">
        <v>0</v>
      </c>
      <c r="AA250" s="1086">
        <v>100507</v>
      </c>
      <c r="AB250" s="1086">
        <v>0</v>
      </c>
      <c r="AC250" s="1086">
        <v>504661.92</v>
      </c>
      <c r="AD250" s="1086" t="s">
        <v>248</v>
      </c>
      <c r="AE250" s="1086" t="s">
        <v>3877</v>
      </c>
      <c r="AF250" s="1086">
        <f t="shared" si="13"/>
        <v>504661.91999999981</v>
      </c>
      <c r="AG250" s="1086">
        <f t="shared" si="12"/>
        <v>0</v>
      </c>
      <c r="AQ250" s="1086">
        <v>0</v>
      </c>
      <c r="AR250" s="1086">
        <v>0</v>
      </c>
      <c r="AS250" s="1086">
        <v>504661.92</v>
      </c>
      <c r="AT250" s="1086">
        <f t="shared" si="14"/>
        <v>0</v>
      </c>
      <c r="AV250" s="1150">
        <f t="shared" si="15"/>
        <v>-609.53999999980442</v>
      </c>
    </row>
    <row r="251" spans="1:48" x14ac:dyDescent="0.2">
      <c r="A251" s="19">
        <v>250</v>
      </c>
      <c r="B251" t="s">
        <v>1551</v>
      </c>
      <c r="C251" t="s">
        <v>1290</v>
      </c>
      <c r="D251" t="s">
        <v>1056</v>
      </c>
      <c r="E251" t="s">
        <v>2182</v>
      </c>
      <c r="F251" t="s">
        <v>2378</v>
      </c>
      <c r="G251" t="s">
        <v>1256</v>
      </c>
      <c r="H251" t="s">
        <v>3828</v>
      </c>
      <c r="I251" t="s">
        <v>3839</v>
      </c>
      <c r="J251" t="s">
        <v>3465</v>
      </c>
      <c r="K251" t="s">
        <v>3473</v>
      </c>
      <c r="L251" t="s">
        <v>2722</v>
      </c>
      <c r="M251" s="1086">
        <v>734279.7</v>
      </c>
      <c r="N251" s="1086">
        <v>327022.8</v>
      </c>
      <c r="O251" s="1086">
        <v>0</v>
      </c>
      <c r="P251" s="1086">
        <v>0</v>
      </c>
      <c r="Q251" s="1086">
        <v>0</v>
      </c>
      <c r="R251" s="1086">
        <v>159420.47</v>
      </c>
      <c r="S251" s="1086">
        <v>0</v>
      </c>
      <c r="T251" s="1086">
        <v>71215.679999999993</v>
      </c>
      <c r="U251" s="1086">
        <v>6858.59</v>
      </c>
      <c r="V251" s="1086">
        <v>0</v>
      </c>
      <c r="W251" s="1086">
        <v>0</v>
      </c>
      <c r="X251" s="1086">
        <v>0</v>
      </c>
      <c r="Y251" s="1086">
        <v>0</v>
      </c>
      <c r="Z251" s="1086">
        <v>0</v>
      </c>
      <c r="AA251" s="1086">
        <v>11445.8</v>
      </c>
      <c r="AB251" s="1086">
        <v>0</v>
      </c>
      <c r="AC251" s="1086">
        <v>812361.96</v>
      </c>
      <c r="AD251" s="1086" t="s">
        <v>248</v>
      </c>
      <c r="AE251" s="1086" t="s">
        <v>3877</v>
      </c>
      <c r="AF251" s="1086">
        <f t="shared" si="13"/>
        <v>812361.96</v>
      </c>
      <c r="AG251" s="1086">
        <f t="shared" si="12"/>
        <v>0</v>
      </c>
      <c r="AQ251" s="1086">
        <v>0</v>
      </c>
      <c r="AR251" s="1086">
        <v>0</v>
      </c>
      <c r="AS251" s="1086">
        <v>812361.96</v>
      </c>
      <c r="AT251" s="1086">
        <f t="shared" si="14"/>
        <v>0</v>
      </c>
      <c r="AV251" s="1150">
        <f t="shared" si="15"/>
        <v>248940.53999999998</v>
      </c>
    </row>
    <row r="252" spans="1:48" x14ac:dyDescent="0.2">
      <c r="A252" s="19">
        <v>251</v>
      </c>
      <c r="B252" t="s">
        <v>1552</v>
      </c>
      <c r="C252" t="s">
        <v>1290</v>
      </c>
      <c r="D252" t="s">
        <v>1056</v>
      </c>
      <c r="E252" t="s">
        <v>2182</v>
      </c>
      <c r="F252" t="s">
        <v>2378</v>
      </c>
      <c r="G252" t="s">
        <v>1256</v>
      </c>
      <c r="H252" t="s">
        <v>3828</v>
      </c>
      <c r="I252" t="s">
        <v>3839</v>
      </c>
      <c r="J252" t="s">
        <v>3465</v>
      </c>
      <c r="K252" t="s">
        <v>3474</v>
      </c>
      <c r="L252" t="s">
        <v>2723</v>
      </c>
      <c r="M252" s="1086">
        <v>618102.02</v>
      </c>
      <c r="N252" s="1086">
        <v>191736.48</v>
      </c>
      <c r="O252" s="1086">
        <v>158000</v>
      </c>
      <c r="P252" s="1086">
        <v>0</v>
      </c>
      <c r="Q252" s="1086">
        <v>0</v>
      </c>
      <c r="R252" s="1086">
        <v>146581.09</v>
      </c>
      <c r="S252" s="1086">
        <v>0</v>
      </c>
      <c r="T252" s="1086">
        <v>72752.34</v>
      </c>
      <c r="U252" s="1086">
        <v>402141.16</v>
      </c>
      <c r="V252" s="1086">
        <v>0</v>
      </c>
      <c r="W252" s="1086">
        <v>0</v>
      </c>
      <c r="X252" s="1086">
        <v>0</v>
      </c>
      <c r="Y252" s="1086">
        <v>-24057.29</v>
      </c>
      <c r="Z252" s="1086">
        <v>0</v>
      </c>
      <c r="AA252" s="1086">
        <v>6710.79</v>
      </c>
      <c r="AB252" s="1086">
        <v>0</v>
      </c>
      <c r="AC252" s="1086">
        <v>363710.41</v>
      </c>
      <c r="AD252" s="1086" t="s">
        <v>248</v>
      </c>
      <c r="AE252" s="1086" t="s">
        <v>3877</v>
      </c>
      <c r="AF252" s="1086">
        <f t="shared" si="13"/>
        <v>363710.41000000003</v>
      </c>
      <c r="AG252" s="1086">
        <f t="shared" si="12"/>
        <v>0</v>
      </c>
      <c r="AQ252" s="1086">
        <v>0</v>
      </c>
      <c r="AR252" s="1086">
        <v>0</v>
      </c>
      <c r="AS252" s="1086">
        <v>363710.41</v>
      </c>
      <c r="AT252" s="1086">
        <f t="shared" si="14"/>
        <v>0</v>
      </c>
      <c r="AV252" s="1150">
        <f t="shared" si="15"/>
        <v>604128.09</v>
      </c>
    </row>
    <row r="253" spans="1:48" x14ac:dyDescent="0.2">
      <c r="A253" s="19">
        <v>252</v>
      </c>
      <c r="B253" t="s">
        <v>1553</v>
      </c>
      <c r="C253" t="s">
        <v>1290</v>
      </c>
      <c r="D253" t="s">
        <v>1056</v>
      </c>
      <c r="E253" t="s">
        <v>2182</v>
      </c>
      <c r="F253" t="s">
        <v>2378</v>
      </c>
      <c r="G253" t="s">
        <v>1256</v>
      </c>
      <c r="H253" t="s">
        <v>3828</v>
      </c>
      <c r="I253" t="s">
        <v>3839</v>
      </c>
      <c r="J253" t="s">
        <v>3465</v>
      </c>
      <c r="K253" t="s">
        <v>3475</v>
      </c>
      <c r="L253" t="s">
        <v>2724</v>
      </c>
      <c r="M253" s="1086">
        <v>252212.67</v>
      </c>
      <c r="N253" s="1086">
        <v>247519.25</v>
      </c>
      <c r="O253" s="1086">
        <v>100000</v>
      </c>
      <c r="P253" s="1086">
        <v>293.76</v>
      </c>
      <c r="Q253" s="1086">
        <v>0</v>
      </c>
      <c r="R253" s="1086">
        <v>0</v>
      </c>
      <c r="S253" s="1086">
        <v>0</v>
      </c>
      <c r="T253" s="1086">
        <v>8.68</v>
      </c>
      <c r="U253" s="1086">
        <v>113138.58</v>
      </c>
      <c r="V253" s="1086">
        <v>0</v>
      </c>
      <c r="W253" s="1086">
        <v>0</v>
      </c>
      <c r="X253" s="1086">
        <v>211.26</v>
      </c>
      <c r="Y253" s="1086">
        <v>0</v>
      </c>
      <c r="Z253" s="1086">
        <v>0</v>
      </c>
      <c r="AA253" s="1086">
        <v>10627.69</v>
      </c>
      <c r="AB253" s="1086">
        <v>0</v>
      </c>
      <c r="AC253" s="1086">
        <v>475451.95</v>
      </c>
      <c r="AD253" s="1086" t="s">
        <v>248</v>
      </c>
      <c r="AE253" s="1086" t="s">
        <v>3877</v>
      </c>
      <c r="AF253" s="1086">
        <f t="shared" si="13"/>
        <v>475451.95000000007</v>
      </c>
      <c r="AG253" s="1086">
        <f t="shared" si="12"/>
        <v>0</v>
      </c>
      <c r="AQ253" s="1086">
        <v>0</v>
      </c>
      <c r="AR253" s="1086">
        <v>0</v>
      </c>
      <c r="AS253" s="1086">
        <v>475451.95</v>
      </c>
      <c r="AT253" s="1086">
        <f t="shared" si="14"/>
        <v>0</v>
      </c>
      <c r="AV253" s="1150">
        <f t="shared" si="15"/>
        <v>124279.97</v>
      </c>
    </row>
    <row r="254" spans="1:48" x14ac:dyDescent="0.2">
      <c r="A254" s="19">
        <v>253</v>
      </c>
      <c r="B254" t="s">
        <v>1554</v>
      </c>
      <c r="C254" t="s">
        <v>1290</v>
      </c>
      <c r="D254" t="s">
        <v>1056</v>
      </c>
      <c r="E254" t="s">
        <v>2182</v>
      </c>
      <c r="F254" t="s">
        <v>2378</v>
      </c>
      <c r="G254" t="s">
        <v>1256</v>
      </c>
      <c r="H254" t="s">
        <v>3828</v>
      </c>
      <c r="I254" t="s">
        <v>3251</v>
      </c>
      <c r="J254" t="s">
        <v>3251</v>
      </c>
      <c r="K254" t="s">
        <v>3251</v>
      </c>
      <c r="L254" t="s">
        <v>2725</v>
      </c>
      <c r="M254" s="1086">
        <v>0</v>
      </c>
      <c r="N254" s="1086">
        <v>115229.07</v>
      </c>
      <c r="O254" s="1086">
        <v>0</v>
      </c>
      <c r="P254" s="1086">
        <v>0</v>
      </c>
      <c r="Q254" s="1086">
        <v>0</v>
      </c>
      <c r="R254" s="1086">
        <v>0</v>
      </c>
      <c r="S254" s="1086">
        <v>0</v>
      </c>
      <c r="T254" s="1086">
        <v>0</v>
      </c>
      <c r="U254" s="1086">
        <v>77440.149999999994</v>
      </c>
      <c r="V254" s="1086">
        <v>0</v>
      </c>
      <c r="W254" s="1086">
        <v>0</v>
      </c>
      <c r="X254" s="1086">
        <v>0</v>
      </c>
      <c r="Y254" s="1086">
        <v>0</v>
      </c>
      <c r="Z254" s="1086">
        <v>0</v>
      </c>
      <c r="AA254" s="1086">
        <v>0</v>
      </c>
      <c r="AB254" s="1086">
        <v>0</v>
      </c>
      <c r="AC254" s="1086">
        <v>37788.92</v>
      </c>
      <c r="AD254" s="1086" t="s">
        <v>248</v>
      </c>
      <c r="AE254" s="1086" t="s">
        <v>3877</v>
      </c>
      <c r="AF254" s="1086">
        <f t="shared" si="13"/>
        <v>37788.920000000013</v>
      </c>
      <c r="AG254" s="1086">
        <f t="shared" si="12"/>
        <v>0</v>
      </c>
      <c r="AQ254" s="1086">
        <v>0</v>
      </c>
      <c r="AR254" s="1086">
        <v>0</v>
      </c>
      <c r="AS254" s="1086">
        <v>37788.92</v>
      </c>
      <c r="AT254" s="1086">
        <f t="shared" si="14"/>
        <v>0</v>
      </c>
      <c r="AV254" s="1150">
        <f t="shared" si="15"/>
        <v>77440.149999999994</v>
      </c>
    </row>
    <row r="255" spans="1:48" x14ac:dyDescent="0.2">
      <c r="A255" s="19">
        <v>254</v>
      </c>
      <c r="B255" t="s">
        <v>1555</v>
      </c>
      <c r="C255" t="s">
        <v>1290</v>
      </c>
      <c r="D255" t="s">
        <v>1059</v>
      </c>
      <c r="E255" t="s">
        <v>2183</v>
      </c>
      <c r="F255" t="s">
        <v>2379</v>
      </c>
      <c r="G255" t="s">
        <v>1250</v>
      </c>
      <c r="H255" t="s">
        <v>3825</v>
      </c>
      <c r="I255" t="s">
        <v>3839</v>
      </c>
      <c r="J255" t="s">
        <v>3257</v>
      </c>
      <c r="K255" t="s">
        <v>3476</v>
      </c>
      <c r="L255" t="s">
        <v>2726</v>
      </c>
      <c r="M255" s="1086">
        <v>79858.66</v>
      </c>
      <c r="N255" s="1086">
        <v>30761.52</v>
      </c>
      <c r="O255" s="1086">
        <v>4790</v>
      </c>
      <c r="P255" s="1086">
        <v>36453.129999999997</v>
      </c>
      <c r="Q255" s="1086">
        <v>0</v>
      </c>
      <c r="R255" s="1086">
        <v>0</v>
      </c>
      <c r="S255" s="1086">
        <v>19766.599999999999</v>
      </c>
      <c r="T255" s="1086">
        <v>9892.65</v>
      </c>
      <c r="U255" s="1086">
        <v>15539.87</v>
      </c>
      <c r="V255" s="1086">
        <v>0</v>
      </c>
      <c r="W255" s="1086">
        <v>0</v>
      </c>
      <c r="X255" s="1086">
        <v>956.82</v>
      </c>
      <c r="Y255" s="1086">
        <v>-25751.65</v>
      </c>
      <c r="Z255" s="1086">
        <v>0</v>
      </c>
      <c r="AA255" s="1086">
        <v>888.47</v>
      </c>
      <c r="AB255" s="1086">
        <v>0</v>
      </c>
      <c r="AC255" s="1086">
        <v>57237.69</v>
      </c>
      <c r="AD255" s="1086" t="s">
        <v>248</v>
      </c>
      <c r="AE255" s="1086" t="s">
        <v>3877</v>
      </c>
      <c r="AF255" s="1086">
        <f t="shared" si="13"/>
        <v>57237.690000000017</v>
      </c>
      <c r="AG255" s="1086">
        <f t="shared" si="12"/>
        <v>0</v>
      </c>
      <c r="AQ255" s="1086">
        <v>0</v>
      </c>
      <c r="AR255" s="1086">
        <v>426.6</v>
      </c>
      <c r="AS255" s="1086">
        <v>57237.69</v>
      </c>
      <c r="AT255" s="1086">
        <f t="shared" si="14"/>
        <v>0</v>
      </c>
      <c r="AV255" s="1150">
        <f t="shared" si="15"/>
        <v>58172.489999999991</v>
      </c>
    </row>
    <row r="256" spans="1:48" x14ac:dyDescent="0.2">
      <c r="A256" s="19">
        <v>255</v>
      </c>
      <c r="B256" t="s">
        <v>1556</v>
      </c>
      <c r="C256" t="s">
        <v>1290</v>
      </c>
      <c r="D256" t="s">
        <v>1060</v>
      </c>
      <c r="E256" t="s">
        <v>2184</v>
      </c>
      <c r="F256" t="s">
        <v>2380</v>
      </c>
      <c r="G256" t="s">
        <v>1257</v>
      </c>
      <c r="H256" t="s">
        <v>3828</v>
      </c>
      <c r="I256" t="s">
        <v>3839</v>
      </c>
      <c r="J256" t="s">
        <v>3294</v>
      </c>
      <c r="K256" t="s">
        <v>3477</v>
      </c>
      <c r="L256" t="s">
        <v>2727</v>
      </c>
      <c r="M256" s="1086">
        <v>170770.14</v>
      </c>
      <c r="N256" s="1086">
        <v>927416.79</v>
      </c>
      <c r="O256" s="1086">
        <v>334359</v>
      </c>
      <c r="P256" s="1086">
        <v>50119.18</v>
      </c>
      <c r="Q256" s="1086">
        <v>0</v>
      </c>
      <c r="R256" s="1086">
        <v>682060.26</v>
      </c>
      <c r="S256" s="1086">
        <v>51314.66</v>
      </c>
      <c r="T256" s="1086">
        <v>231344.47</v>
      </c>
      <c r="U256" s="1086">
        <v>119809.45</v>
      </c>
      <c r="V256" s="1086">
        <v>0</v>
      </c>
      <c r="W256" s="1086">
        <v>401.96</v>
      </c>
      <c r="X256" s="1086">
        <v>6420.61</v>
      </c>
      <c r="Y256" s="1086">
        <v>-1695</v>
      </c>
      <c r="Z256" s="1086">
        <v>0</v>
      </c>
      <c r="AA256" s="1086">
        <v>32104.51</v>
      </c>
      <c r="AB256" s="1086">
        <v>0</v>
      </c>
      <c r="AC256" s="1086">
        <v>260665.83</v>
      </c>
      <c r="AD256" s="1086" t="s">
        <v>248</v>
      </c>
      <c r="AE256" s="1086" t="s">
        <v>3877</v>
      </c>
      <c r="AF256" s="1086">
        <f t="shared" si="13"/>
        <v>260665.83000000007</v>
      </c>
      <c r="AG256" s="1086">
        <f t="shared" si="12"/>
        <v>0</v>
      </c>
      <c r="AQ256" s="1086">
        <v>0</v>
      </c>
      <c r="AR256" s="1086">
        <v>0</v>
      </c>
      <c r="AS256" s="1086">
        <v>260665.83</v>
      </c>
      <c r="AT256" s="1086">
        <f t="shared" si="14"/>
        <v>0</v>
      </c>
      <c r="AV256" s="1150">
        <f t="shared" si="15"/>
        <v>1171880.1000000001</v>
      </c>
    </row>
    <row r="257" spans="1:48" x14ac:dyDescent="0.2">
      <c r="A257" s="19">
        <v>256</v>
      </c>
      <c r="B257" t="s">
        <v>1557</v>
      </c>
      <c r="C257" t="s">
        <v>1290</v>
      </c>
      <c r="D257" t="s">
        <v>1061</v>
      </c>
      <c r="E257" t="s">
        <v>2185</v>
      </c>
      <c r="F257" t="s">
        <v>2381</v>
      </c>
      <c r="G257" t="s">
        <v>1250</v>
      </c>
      <c r="H257" t="s">
        <v>3827</v>
      </c>
      <c r="I257" t="s">
        <v>3251</v>
      </c>
      <c r="J257" t="s">
        <v>3251</v>
      </c>
      <c r="K257" t="s">
        <v>3251</v>
      </c>
      <c r="L257" t="s">
        <v>2728</v>
      </c>
      <c r="M257" s="1086">
        <v>3370990.96</v>
      </c>
      <c r="N257" s="1086">
        <v>0</v>
      </c>
      <c r="O257" s="1086">
        <v>269149.07</v>
      </c>
      <c r="P257" s="1086">
        <v>232542.14</v>
      </c>
      <c r="Q257" s="1086">
        <v>0</v>
      </c>
      <c r="R257" s="1086">
        <v>33231.589999999997</v>
      </c>
      <c r="S257" s="1086">
        <v>0</v>
      </c>
      <c r="T257" s="1086">
        <v>56647.01</v>
      </c>
      <c r="U257" s="1086">
        <v>441857.75</v>
      </c>
      <c r="V257" s="1086">
        <v>0</v>
      </c>
      <c r="W257" s="1086">
        <v>0</v>
      </c>
      <c r="X257" s="1086">
        <v>0</v>
      </c>
      <c r="Y257" s="1086">
        <v>0</v>
      </c>
      <c r="Z257" s="1086">
        <v>0</v>
      </c>
      <c r="AA257" s="1086">
        <v>10.16</v>
      </c>
      <c r="AB257" s="1086">
        <v>0</v>
      </c>
      <c r="AC257" s="1086">
        <v>2875851.38</v>
      </c>
      <c r="AD257" s="1086" t="s">
        <v>248</v>
      </c>
      <c r="AE257" s="1086" t="s">
        <v>3877</v>
      </c>
      <c r="AF257" s="1086">
        <f t="shared" si="13"/>
        <v>2875851.38</v>
      </c>
      <c r="AG257" s="1086">
        <f t="shared" si="12"/>
        <v>0</v>
      </c>
      <c r="AQ257" s="1086">
        <v>0</v>
      </c>
      <c r="AR257" s="1086">
        <v>0</v>
      </c>
      <c r="AS257" s="1086">
        <v>2875851.38</v>
      </c>
      <c r="AT257" s="1086">
        <f t="shared" si="14"/>
        <v>0</v>
      </c>
      <c r="AV257" s="1150">
        <f t="shared" si="15"/>
        <v>764288.65</v>
      </c>
    </row>
    <row r="258" spans="1:48" x14ac:dyDescent="0.2">
      <c r="A258" s="19">
        <v>257</v>
      </c>
      <c r="B258" t="s">
        <v>1558</v>
      </c>
      <c r="C258" t="s">
        <v>1290</v>
      </c>
      <c r="D258" t="s">
        <v>1061</v>
      </c>
      <c r="E258" t="s">
        <v>2185</v>
      </c>
      <c r="F258" t="s">
        <v>2381</v>
      </c>
      <c r="G258" t="s">
        <v>1259</v>
      </c>
      <c r="H258" t="s">
        <v>3827</v>
      </c>
      <c r="I258">
        <v>0</v>
      </c>
      <c r="L258" t="s">
        <v>2729</v>
      </c>
      <c r="M258" s="1086">
        <v>189864.56</v>
      </c>
      <c r="N258" s="1086">
        <v>0</v>
      </c>
      <c r="O258" s="1086">
        <v>0</v>
      </c>
      <c r="P258" s="1086">
        <v>61032.39</v>
      </c>
      <c r="Q258" s="1086">
        <v>0</v>
      </c>
      <c r="R258" s="1086">
        <v>0</v>
      </c>
      <c r="S258" s="1086">
        <v>0</v>
      </c>
      <c r="T258" s="1086">
        <v>18523.349999999999</v>
      </c>
      <c r="U258" s="1086">
        <v>121.13</v>
      </c>
      <c r="V258" s="1086">
        <v>0</v>
      </c>
      <c r="W258" s="1086">
        <v>0</v>
      </c>
      <c r="X258" s="1086">
        <v>0</v>
      </c>
      <c r="Y258" s="1086">
        <v>0</v>
      </c>
      <c r="Z258" s="1086">
        <v>0</v>
      </c>
      <c r="AA258" s="1086">
        <v>110187.69</v>
      </c>
      <c r="AB258" s="1086">
        <v>0</v>
      </c>
      <c r="AC258" s="1086">
        <v>0</v>
      </c>
      <c r="AD258" s="1086" t="s">
        <v>248</v>
      </c>
      <c r="AE258" s="1086" t="s">
        <v>3877</v>
      </c>
      <c r="AF258" s="1086">
        <f t="shared" si="13"/>
        <v>0</v>
      </c>
      <c r="AG258" s="1086">
        <f t="shared" si="12"/>
        <v>0</v>
      </c>
      <c r="AQ258" s="1086">
        <v>0</v>
      </c>
      <c r="AR258" s="1086">
        <v>0</v>
      </c>
      <c r="AS258" s="1086">
        <v>0</v>
      </c>
      <c r="AT258" s="1086">
        <f t="shared" si="14"/>
        <v>0</v>
      </c>
      <c r="AV258" s="1150">
        <f t="shared" si="15"/>
        <v>189864.56</v>
      </c>
    </row>
    <row r="259" spans="1:48" x14ac:dyDescent="0.2">
      <c r="A259" s="19">
        <v>258</v>
      </c>
      <c r="B259" t="s">
        <v>1559</v>
      </c>
      <c r="C259" t="s">
        <v>1290</v>
      </c>
      <c r="D259" t="s">
        <v>1047</v>
      </c>
      <c r="E259" t="s">
        <v>2186</v>
      </c>
      <c r="F259" t="s">
        <v>2479</v>
      </c>
      <c r="G259" t="s">
        <v>608</v>
      </c>
      <c r="H259" t="s">
        <v>3826</v>
      </c>
      <c r="I259" t="s">
        <v>3840</v>
      </c>
      <c r="J259" t="s">
        <v>3260</v>
      </c>
      <c r="K259" t="s">
        <v>3478</v>
      </c>
      <c r="L259" t="s">
        <v>2730</v>
      </c>
      <c r="M259" s="1086">
        <v>1518783.32</v>
      </c>
      <c r="N259" s="1086">
        <v>3827736.0100000002</v>
      </c>
      <c r="O259" s="1086">
        <v>2715056.85</v>
      </c>
      <c r="P259" s="1086">
        <v>797292.81</v>
      </c>
      <c r="Q259" s="1086">
        <v>0</v>
      </c>
      <c r="R259" s="1086">
        <v>101229.29</v>
      </c>
      <c r="S259" s="1086">
        <v>55251.65</v>
      </c>
      <c r="T259" s="1086">
        <v>242304.51</v>
      </c>
      <c r="U259" s="1086">
        <v>1354369.4</v>
      </c>
      <c r="V259" s="1086">
        <v>0</v>
      </c>
      <c r="W259" s="1086">
        <v>16554.59</v>
      </c>
      <c r="X259" s="1086">
        <v>38709.57</v>
      </c>
      <c r="Y259" s="1086">
        <v>0</v>
      </c>
      <c r="Z259" s="1086">
        <v>107797.54</v>
      </c>
      <c r="AA259" s="1086">
        <v>756062.62</v>
      </c>
      <c r="AB259" s="1086">
        <v>470093.12</v>
      </c>
      <c r="AC259" s="1086">
        <v>4121895.51</v>
      </c>
      <c r="AD259" s="1103" t="s">
        <v>608</v>
      </c>
      <c r="AE259" s="1086" t="s">
        <v>3878</v>
      </c>
      <c r="AF259" s="1086">
        <f t="shared" si="13"/>
        <v>4121895.51</v>
      </c>
      <c r="AG259" s="1086">
        <f t="shared" si="12"/>
        <v>0</v>
      </c>
      <c r="AQ259" s="1086">
        <v>0</v>
      </c>
      <c r="AR259" s="1086">
        <v>15.57</v>
      </c>
      <c r="AS259" s="1086">
        <v>4119238.41</v>
      </c>
      <c r="AT259" s="1086">
        <f t="shared" si="14"/>
        <v>2657.0999999996275</v>
      </c>
      <c r="AU259" s="167" t="s">
        <v>3912</v>
      </c>
      <c r="AV259" s="1150">
        <f t="shared" si="15"/>
        <v>3939680.67</v>
      </c>
    </row>
    <row r="260" spans="1:48" x14ac:dyDescent="0.2">
      <c r="A260" s="19">
        <v>259</v>
      </c>
      <c r="B260" t="s">
        <v>1560</v>
      </c>
      <c r="C260" t="s">
        <v>1290</v>
      </c>
      <c r="D260" t="s">
        <v>1047</v>
      </c>
      <c r="E260" t="s">
        <v>2186</v>
      </c>
      <c r="F260" t="s">
        <v>2479</v>
      </c>
      <c r="G260" t="s">
        <v>608</v>
      </c>
      <c r="H260" t="s">
        <v>3826</v>
      </c>
      <c r="I260" t="s">
        <v>3840</v>
      </c>
      <c r="J260" t="s">
        <v>3260</v>
      </c>
      <c r="K260" t="s">
        <v>3479</v>
      </c>
      <c r="L260" t="s">
        <v>2731</v>
      </c>
      <c r="M260" s="1086">
        <v>3723944.61</v>
      </c>
      <c r="N260" s="1086">
        <v>3982624.34</v>
      </c>
      <c r="O260" s="1086">
        <v>0</v>
      </c>
      <c r="P260" s="1086">
        <v>405592.4</v>
      </c>
      <c r="Q260" s="1086">
        <v>14400</v>
      </c>
      <c r="R260" s="1086">
        <v>764</v>
      </c>
      <c r="S260" s="1086">
        <v>20721.669999999998</v>
      </c>
      <c r="T260" s="1086">
        <v>126577.23</v>
      </c>
      <c r="U260" s="1086">
        <v>134750.04</v>
      </c>
      <c r="V260" s="1086">
        <v>0</v>
      </c>
      <c r="W260" s="1086">
        <v>222544.86</v>
      </c>
      <c r="X260" s="1086">
        <v>4786.1499999999996</v>
      </c>
      <c r="Y260" s="1086">
        <v>-21240</v>
      </c>
      <c r="Z260" s="1086">
        <v>0</v>
      </c>
      <c r="AA260" s="1086">
        <v>0</v>
      </c>
      <c r="AB260" s="1086">
        <v>0</v>
      </c>
      <c r="AC260" s="1086">
        <v>6797672.5999999996</v>
      </c>
      <c r="AD260" s="1103" t="s">
        <v>608</v>
      </c>
      <c r="AE260" s="1086" t="s">
        <v>3878</v>
      </c>
      <c r="AF260" s="1086">
        <f t="shared" si="13"/>
        <v>6797672.5999999996</v>
      </c>
      <c r="AG260" s="1086">
        <f t="shared" ref="AG260:AG321" si="16">AC260-AF260</f>
        <v>0</v>
      </c>
      <c r="AQ260" s="1086">
        <v>0</v>
      </c>
      <c r="AR260" s="1086">
        <v>0</v>
      </c>
      <c r="AS260" s="1086">
        <v>6797672.5999999996</v>
      </c>
      <c r="AT260" s="1086">
        <f t="shared" si="14"/>
        <v>0</v>
      </c>
      <c r="AV260" s="1150">
        <f t="shared" si="15"/>
        <v>908896.35000000009</v>
      </c>
    </row>
    <row r="261" spans="1:48" x14ac:dyDescent="0.2">
      <c r="A261" s="19">
        <v>260</v>
      </c>
      <c r="B261" t="s">
        <v>1561</v>
      </c>
      <c r="C261" t="s">
        <v>1290</v>
      </c>
      <c r="D261" t="s">
        <v>1049</v>
      </c>
      <c r="E261" t="s">
        <v>2187</v>
      </c>
      <c r="F261" t="s">
        <v>2382</v>
      </c>
      <c r="G261" t="s">
        <v>1250</v>
      </c>
      <c r="H261" t="s">
        <v>3823</v>
      </c>
      <c r="I261" t="s">
        <v>3839</v>
      </c>
      <c r="J261" t="s">
        <v>3270</v>
      </c>
      <c r="K261" t="s">
        <v>3480</v>
      </c>
      <c r="L261" t="s">
        <v>2732</v>
      </c>
      <c r="M261" s="1086">
        <v>28209.17</v>
      </c>
      <c r="N261" s="1086">
        <v>2578.6099999999997</v>
      </c>
      <c r="O261" s="1086">
        <v>12500</v>
      </c>
      <c r="P261" s="1086">
        <v>0</v>
      </c>
      <c r="Q261" s="1086">
        <v>0</v>
      </c>
      <c r="R261" s="1086">
        <v>0</v>
      </c>
      <c r="S261" s="1086">
        <v>1400.4</v>
      </c>
      <c r="T261" s="1086">
        <v>39.130000000000003</v>
      </c>
      <c r="U261" s="1086">
        <v>3771.19</v>
      </c>
      <c r="V261" s="1086">
        <v>0</v>
      </c>
      <c r="W261" s="1086">
        <v>0</v>
      </c>
      <c r="X261" s="1086">
        <v>3639.83</v>
      </c>
      <c r="Y261" s="1086">
        <v>-1050</v>
      </c>
      <c r="Z261" s="1086">
        <v>0</v>
      </c>
      <c r="AA261" s="1086">
        <v>16229.36</v>
      </c>
      <c r="AB261" s="1086">
        <v>0</v>
      </c>
      <c r="AC261" s="1086">
        <v>19257.87</v>
      </c>
      <c r="AD261" s="1086" t="s">
        <v>248</v>
      </c>
      <c r="AE261" s="1086" t="s">
        <v>3877</v>
      </c>
      <c r="AF261" s="1086">
        <f t="shared" si="13"/>
        <v>19257.87</v>
      </c>
      <c r="AG261" s="1086">
        <f t="shared" si="16"/>
        <v>0</v>
      </c>
      <c r="AQ261" s="1086">
        <v>0</v>
      </c>
      <c r="AR261" s="1086">
        <v>0</v>
      </c>
      <c r="AS261" s="1086">
        <v>19257.87</v>
      </c>
      <c r="AT261" s="1086">
        <f t="shared" si="14"/>
        <v>0</v>
      </c>
      <c r="AV261" s="1150">
        <f t="shared" si="15"/>
        <v>24029.91</v>
      </c>
    </row>
    <row r="262" spans="1:48" x14ac:dyDescent="0.2">
      <c r="A262" s="19">
        <v>261</v>
      </c>
      <c r="B262" t="s">
        <v>1562</v>
      </c>
      <c r="C262" t="s">
        <v>1290</v>
      </c>
      <c r="D262" t="s">
        <v>1049</v>
      </c>
      <c r="E262" t="s">
        <v>2187</v>
      </c>
      <c r="F262" t="s">
        <v>2382</v>
      </c>
      <c r="G262" t="s">
        <v>1250</v>
      </c>
      <c r="H262" t="s">
        <v>3824</v>
      </c>
      <c r="I262">
        <v>2221</v>
      </c>
      <c r="J262" t="s">
        <v>3270</v>
      </c>
      <c r="K262" t="s">
        <v>3481</v>
      </c>
      <c r="L262" t="s">
        <v>2733</v>
      </c>
      <c r="M262" s="1086">
        <v>129991.26</v>
      </c>
      <c r="N262" s="1086">
        <v>196697.03</v>
      </c>
      <c r="O262" s="1086">
        <v>0</v>
      </c>
      <c r="P262" s="1086">
        <v>0</v>
      </c>
      <c r="Q262" s="1086">
        <v>0</v>
      </c>
      <c r="R262" s="1086">
        <v>0</v>
      </c>
      <c r="S262" s="1086">
        <v>0</v>
      </c>
      <c r="T262" s="1086">
        <v>0</v>
      </c>
      <c r="U262" s="1086">
        <v>211062.44</v>
      </c>
      <c r="V262" s="1086">
        <v>0</v>
      </c>
      <c r="W262" s="1086">
        <v>1829.85</v>
      </c>
      <c r="X262" s="1086">
        <v>5752.79</v>
      </c>
      <c r="Y262" s="1086">
        <v>-1272</v>
      </c>
      <c r="Z262" s="1086">
        <v>0</v>
      </c>
      <c r="AA262" s="1086">
        <v>6673.53</v>
      </c>
      <c r="AB262" s="1086">
        <v>0</v>
      </c>
      <c r="AC262" s="1086">
        <v>102631.67999999999</v>
      </c>
      <c r="AD262" s="1086" t="s">
        <v>248</v>
      </c>
      <c r="AE262" s="1086" t="s">
        <v>3877</v>
      </c>
      <c r="AF262" s="1086">
        <f t="shared" si="13"/>
        <v>102631.67999999996</v>
      </c>
      <c r="AG262" s="1086">
        <f t="shared" si="16"/>
        <v>0</v>
      </c>
      <c r="AQ262" s="1086">
        <v>10</v>
      </c>
      <c r="AR262" s="1086">
        <v>0</v>
      </c>
      <c r="AS262" s="1086">
        <v>102631.67999999999</v>
      </c>
      <c r="AT262" s="1086">
        <f t="shared" si="14"/>
        <v>0</v>
      </c>
      <c r="AV262" s="1150">
        <f t="shared" si="15"/>
        <v>224056.61000000002</v>
      </c>
    </row>
    <row r="263" spans="1:48" x14ac:dyDescent="0.2">
      <c r="A263" s="19">
        <v>262</v>
      </c>
      <c r="B263" t="s">
        <v>1563</v>
      </c>
      <c r="C263" t="s">
        <v>1290</v>
      </c>
      <c r="D263" t="s">
        <v>1033</v>
      </c>
      <c r="E263" t="s">
        <v>2188</v>
      </c>
      <c r="F263" t="s">
        <v>2383</v>
      </c>
      <c r="G263" t="s">
        <v>1250</v>
      </c>
      <c r="H263" t="s">
        <v>3825</v>
      </c>
      <c r="I263" t="s">
        <v>3839</v>
      </c>
      <c r="J263" t="s">
        <v>3482</v>
      </c>
      <c r="K263" t="s">
        <v>3483</v>
      </c>
      <c r="L263" t="s">
        <v>2734</v>
      </c>
      <c r="M263" s="1086">
        <v>43098.59</v>
      </c>
      <c r="N263" s="1086">
        <v>0</v>
      </c>
      <c r="O263" s="1086">
        <v>12196.34</v>
      </c>
      <c r="P263" s="1086">
        <v>0</v>
      </c>
      <c r="Q263" s="1086">
        <v>0</v>
      </c>
      <c r="R263" s="1086">
        <v>0</v>
      </c>
      <c r="S263" s="1086">
        <v>0</v>
      </c>
      <c r="T263" s="1086">
        <v>0</v>
      </c>
      <c r="U263" s="1086">
        <v>6447.72</v>
      </c>
      <c r="V263" s="1086">
        <v>0</v>
      </c>
      <c r="W263" s="1086">
        <v>0</v>
      </c>
      <c r="X263" s="1086">
        <v>1073.96</v>
      </c>
      <c r="Y263" s="1086">
        <v>-2750</v>
      </c>
      <c r="Z263" s="1086">
        <v>0</v>
      </c>
      <c r="AA263" s="1086">
        <v>5000</v>
      </c>
      <c r="AB263" s="1086">
        <v>0</v>
      </c>
      <c r="AC263" s="1086">
        <v>45523.25</v>
      </c>
      <c r="AD263" s="1086" t="s">
        <v>248</v>
      </c>
      <c r="AE263" s="1086" t="s">
        <v>3877</v>
      </c>
      <c r="AF263" s="1086">
        <f t="shared" si="13"/>
        <v>45523.249999999993</v>
      </c>
      <c r="AG263" s="1086">
        <f t="shared" si="16"/>
        <v>0</v>
      </c>
      <c r="AQ263" s="1086">
        <v>0</v>
      </c>
      <c r="AR263" s="1086">
        <v>0</v>
      </c>
      <c r="AS263" s="1086">
        <v>45523.25</v>
      </c>
      <c r="AT263" s="1086">
        <f t="shared" si="14"/>
        <v>0</v>
      </c>
      <c r="AV263" s="1150">
        <f t="shared" si="15"/>
        <v>9771.68</v>
      </c>
    </row>
    <row r="264" spans="1:48" x14ac:dyDescent="0.2">
      <c r="A264" s="19">
        <v>263</v>
      </c>
      <c r="B264" t="s">
        <v>1564</v>
      </c>
      <c r="C264" t="s">
        <v>1290</v>
      </c>
      <c r="D264" t="s">
        <v>1033</v>
      </c>
      <c r="E264" t="s">
        <v>2188</v>
      </c>
      <c r="F264" t="s">
        <v>2383</v>
      </c>
      <c r="G264" t="s">
        <v>1250</v>
      </c>
      <c r="H264" t="s">
        <v>3825</v>
      </c>
      <c r="I264" t="s">
        <v>3839</v>
      </c>
      <c r="J264" t="s">
        <v>3482</v>
      </c>
      <c r="K264" t="s">
        <v>3484</v>
      </c>
      <c r="L264" t="s">
        <v>2735</v>
      </c>
      <c r="M264" s="1086">
        <v>1110263.77</v>
      </c>
      <c r="N264" s="1086">
        <v>1554613.49</v>
      </c>
      <c r="O264" s="1086">
        <v>5854.12</v>
      </c>
      <c r="P264" s="1086">
        <v>583329.56000000006</v>
      </c>
      <c r="Q264" s="1086">
        <v>312006.39</v>
      </c>
      <c r="R264" s="1086">
        <v>74882.179999999993</v>
      </c>
      <c r="S264" s="1086">
        <v>292915.42</v>
      </c>
      <c r="T264" s="1086">
        <v>341134.83</v>
      </c>
      <c r="U264" s="1086">
        <v>538884.19999999995</v>
      </c>
      <c r="V264" s="1086">
        <v>720</v>
      </c>
      <c r="W264" s="1086">
        <v>2801.89</v>
      </c>
      <c r="X264" s="1086">
        <v>15789.06</v>
      </c>
      <c r="Y264" s="1086">
        <v>0</v>
      </c>
      <c r="Z264" s="1086">
        <v>0</v>
      </c>
      <c r="AA264" s="1086">
        <v>59215.49</v>
      </c>
      <c r="AB264" s="1086">
        <v>0</v>
      </c>
      <c r="AC264" s="1086">
        <v>449052.36</v>
      </c>
      <c r="AD264" s="1086" t="s">
        <v>248</v>
      </c>
      <c r="AE264" s="1086" t="s">
        <v>3877</v>
      </c>
      <c r="AF264" s="1086">
        <f t="shared" ref="AF264:AF327" si="17">M264+N264+O264-(SUM(P264:AB264))-AQ264-AR264</f>
        <v>449052.3599999994</v>
      </c>
      <c r="AG264" s="1086">
        <f t="shared" si="16"/>
        <v>5.8207660913467407E-10</v>
      </c>
      <c r="AQ264" s="1086">
        <v>0</v>
      </c>
      <c r="AR264" s="1086">
        <v>0</v>
      </c>
      <c r="AS264" s="1086">
        <v>449052.36</v>
      </c>
      <c r="AT264" s="1086">
        <f t="shared" ref="AT264:AT327" si="18">AC264-AS264</f>
        <v>0</v>
      </c>
      <c r="AV264" s="1150">
        <f t="shared" si="15"/>
        <v>2221679.0200000005</v>
      </c>
    </row>
    <row r="265" spans="1:48" x14ac:dyDescent="0.2">
      <c r="A265" s="19">
        <v>264</v>
      </c>
      <c r="B265" t="s">
        <v>1565</v>
      </c>
      <c r="C265" t="s">
        <v>1290</v>
      </c>
      <c r="D265" t="s">
        <v>1036</v>
      </c>
      <c r="E265" t="s">
        <v>2189</v>
      </c>
      <c r="F265" t="s">
        <v>2384</v>
      </c>
      <c r="G265" t="s">
        <v>1250</v>
      </c>
      <c r="H265" t="s">
        <v>3825</v>
      </c>
      <c r="I265" t="s">
        <v>3839</v>
      </c>
      <c r="J265" t="s">
        <v>3263</v>
      </c>
      <c r="K265" t="s">
        <v>3485</v>
      </c>
      <c r="L265" t="s">
        <v>2736</v>
      </c>
      <c r="M265" s="1086">
        <v>4349.29</v>
      </c>
      <c r="N265" s="1086">
        <v>35259.93</v>
      </c>
      <c r="O265" s="1086">
        <v>0</v>
      </c>
      <c r="P265" s="1086">
        <v>0</v>
      </c>
      <c r="Q265" s="1086">
        <v>0</v>
      </c>
      <c r="R265" s="1086">
        <v>0</v>
      </c>
      <c r="S265" s="1086">
        <v>0</v>
      </c>
      <c r="T265" s="1086">
        <v>0</v>
      </c>
      <c r="U265" s="1086">
        <v>24797.439999999999</v>
      </c>
      <c r="V265" s="1086">
        <v>313.49</v>
      </c>
      <c r="W265" s="1086">
        <v>10284.120000000001</v>
      </c>
      <c r="X265" s="1086">
        <v>0</v>
      </c>
      <c r="Y265" s="1086">
        <v>0</v>
      </c>
      <c r="Z265" s="1086">
        <v>0</v>
      </c>
      <c r="AA265" s="1086">
        <v>1169.81</v>
      </c>
      <c r="AB265" s="1086">
        <v>0</v>
      </c>
      <c r="AC265" s="1086">
        <v>3044.36</v>
      </c>
      <c r="AD265" s="1086" t="s">
        <v>248</v>
      </c>
      <c r="AE265" s="1086" t="s">
        <v>3877</v>
      </c>
      <c r="AF265" s="1086">
        <f t="shared" si="17"/>
        <v>3044.3600000000006</v>
      </c>
      <c r="AG265" s="1086">
        <f t="shared" si="16"/>
        <v>0</v>
      </c>
      <c r="AQ265" s="1086">
        <v>0</v>
      </c>
      <c r="AR265" s="1086">
        <v>0</v>
      </c>
      <c r="AS265" s="1086">
        <v>3044.36</v>
      </c>
      <c r="AT265" s="1086">
        <f t="shared" si="18"/>
        <v>0</v>
      </c>
      <c r="AV265" s="1150">
        <f t="shared" ref="AV265:AV328" si="19">SUM(P265:AB265)+AQ265+AR265</f>
        <v>36564.86</v>
      </c>
    </row>
    <row r="266" spans="1:48" x14ac:dyDescent="0.2">
      <c r="A266" s="19">
        <v>265</v>
      </c>
      <c r="B266" t="s">
        <v>1566</v>
      </c>
      <c r="C266" t="s">
        <v>1290</v>
      </c>
      <c r="D266" t="s">
        <v>1055</v>
      </c>
      <c r="E266" t="s">
        <v>2190</v>
      </c>
      <c r="F266" t="s">
        <v>2385</v>
      </c>
      <c r="G266" t="s">
        <v>3832</v>
      </c>
      <c r="H266" t="s">
        <v>3822</v>
      </c>
      <c r="I266">
        <v>2221</v>
      </c>
      <c r="J266" t="s">
        <v>3401</v>
      </c>
      <c r="K266" t="s">
        <v>3486</v>
      </c>
      <c r="L266" t="s">
        <v>2737</v>
      </c>
      <c r="M266" s="1086">
        <v>196275.58</v>
      </c>
      <c r="N266" s="1086">
        <v>1296126.53</v>
      </c>
      <c r="O266" s="1086">
        <v>0</v>
      </c>
      <c r="P266" s="1086">
        <v>79710.41</v>
      </c>
      <c r="Q266" s="1086">
        <v>0</v>
      </c>
      <c r="R266" s="1086">
        <v>0</v>
      </c>
      <c r="S266" s="1086">
        <v>0</v>
      </c>
      <c r="T266" s="1086">
        <v>15284.82</v>
      </c>
      <c r="U266" s="1086">
        <v>10760.36</v>
      </c>
      <c r="V266" s="1086">
        <v>0</v>
      </c>
      <c r="W266" s="1086">
        <v>0</v>
      </c>
      <c r="X266" s="1086">
        <v>0</v>
      </c>
      <c r="Y266" s="1086">
        <v>0</v>
      </c>
      <c r="Z266" s="1086">
        <v>0</v>
      </c>
      <c r="AA266" s="1086">
        <v>45364.43</v>
      </c>
      <c r="AB266" s="1086">
        <v>0</v>
      </c>
      <c r="AC266" s="1086">
        <v>1341282.0900000001</v>
      </c>
      <c r="AD266" s="1103" t="s">
        <v>1253</v>
      </c>
      <c r="AE266" s="1086" t="s">
        <v>3881</v>
      </c>
      <c r="AF266" s="1086">
        <f t="shared" si="17"/>
        <v>1341282.0900000001</v>
      </c>
      <c r="AG266" s="1086">
        <f t="shared" si="16"/>
        <v>0</v>
      </c>
      <c r="AQ266" s="1086">
        <v>0</v>
      </c>
      <c r="AR266" s="1086">
        <v>0</v>
      </c>
      <c r="AS266" s="1086">
        <v>1341282.0900000001</v>
      </c>
      <c r="AT266" s="1086">
        <f t="shared" si="18"/>
        <v>0</v>
      </c>
      <c r="AV266" s="1150">
        <f t="shared" si="19"/>
        <v>151120.02000000002</v>
      </c>
    </row>
    <row r="267" spans="1:48" x14ac:dyDescent="0.2">
      <c r="A267" s="19">
        <v>266</v>
      </c>
      <c r="B267" t="s">
        <v>1567</v>
      </c>
      <c r="C267" t="s">
        <v>1290</v>
      </c>
      <c r="D267" t="s">
        <v>1055</v>
      </c>
      <c r="E267" t="s">
        <v>2190</v>
      </c>
      <c r="F267" t="s">
        <v>2385</v>
      </c>
      <c r="G267" t="s">
        <v>3832</v>
      </c>
      <c r="H267" t="s">
        <v>3822</v>
      </c>
      <c r="I267">
        <v>2221</v>
      </c>
      <c r="J267" t="s">
        <v>3401</v>
      </c>
      <c r="K267" t="s">
        <v>3487</v>
      </c>
      <c r="L267" t="s">
        <v>2738</v>
      </c>
      <c r="M267" s="1086">
        <v>235920.75</v>
      </c>
      <c r="N267" s="1086">
        <v>2431756.2400000002</v>
      </c>
      <c r="O267" s="1086">
        <v>0</v>
      </c>
      <c r="P267" s="1086">
        <v>1677158.77</v>
      </c>
      <c r="Q267" s="1086">
        <v>0</v>
      </c>
      <c r="R267" s="1086">
        <v>1550.34</v>
      </c>
      <c r="S267" s="1086">
        <v>0</v>
      </c>
      <c r="T267" s="1086">
        <v>350170.16</v>
      </c>
      <c r="U267" s="1086">
        <v>49047.42</v>
      </c>
      <c r="V267" s="1086">
        <v>0</v>
      </c>
      <c r="W267" s="1086">
        <v>1796.9</v>
      </c>
      <c r="X267" s="1086">
        <v>7514.8</v>
      </c>
      <c r="Y267" s="1086">
        <v>0</v>
      </c>
      <c r="Z267" s="1086">
        <v>0</v>
      </c>
      <c r="AA267" s="1086">
        <v>0</v>
      </c>
      <c r="AB267" s="1086">
        <v>0</v>
      </c>
      <c r="AC267" s="1086">
        <v>579688.6</v>
      </c>
      <c r="AD267" s="1103" t="s">
        <v>1253</v>
      </c>
      <c r="AE267" s="1086" t="s">
        <v>3881</v>
      </c>
      <c r="AF267" s="1086">
        <f t="shared" si="17"/>
        <v>579688.60000000033</v>
      </c>
      <c r="AG267" s="1086">
        <f t="shared" si="16"/>
        <v>0</v>
      </c>
      <c r="AQ267" s="1086">
        <v>750</v>
      </c>
      <c r="AR267" s="1086">
        <v>0</v>
      </c>
      <c r="AS267" s="1086">
        <v>579688.6</v>
      </c>
      <c r="AT267" s="1086">
        <f t="shared" si="18"/>
        <v>0</v>
      </c>
      <c r="AV267" s="1150">
        <f t="shared" si="19"/>
        <v>2087988.39</v>
      </c>
    </row>
    <row r="268" spans="1:48" x14ac:dyDescent="0.2">
      <c r="A268" s="19">
        <v>267</v>
      </c>
      <c r="B268" t="s">
        <v>1568</v>
      </c>
      <c r="C268" t="s">
        <v>1290</v>
      </c>
      <c r="D268" t="s">
        <v>1055</v>
      </c>
      <c r="E268" t="s">
        <v>2190</v>
      </c>
      <c r="F268" t="s">
        <v>2385</v>
      </c>
      <c r="G268" t="s">
        <v>3832</v>
      </c>
      <c r="H268" t="s">
        <v>3822</v>
      </c>
      <c r="I268">
        <v>2221</v>
      </c>
      <c r="J268" t="s">
        <v>3401</v>
      </c>
      <c r="K268" t="s">
        <v>3488</v>
      </c>
      <c r="L268" t="s">
        <v>2739</v>
      </c>
      <c r="M268" s="1086">
        <v>-2253276.15</v>
      </c>
      <c r="N268" s="1086">
        <v>13767224.16</v>
      </c>
      <c r="O268" s="1086">
        <v>1095739.74</v>
      </c>
      <c r="P268" s="1086">
        <v>11804463.76</v>
      </c>
      <c r="Q268" s="1086">
        <v>0</v>
      </c>
      <c r="R268" s="1086">
        <v>0</v>
      </c>
      <c r="S268" s="1086">
        <v>0</v>
      </c>
      <c r="T268" s="1086">
        <v>2334153.94</v>
      </c>
      <c r="U268" s="1086">
        <v>10856.69</v>
      </c>
      <c r="V268" s="1086">
        <v>0</v>
      </c>
      <c r="W268" s="1086">
        <v>0</v>
      </c>
      <c r="X268" s="1086">
        <v>0</v>
      </c>
      <c r="Y268" s="1086">
        <v>0</v>
      </c>
      <c r="Z268" s="1086">
        <v>0</v>
      </c>
      <c r="AA268" s="1086">
        <v>0</v>
      </c>
      <c r="AB268" s="1086">
        <v>0</v>
      </c>
      <c r="AC268" s="1086">
        <v>-1539786.64</v>
      </c>
      <c r="AD268" s="1103" t="s">
        <v>1253</v>
      </c>
      <c r="AE268" s="1086" t="s">
        <v>3881</v>
      </c>
      <c r="AF268" s="1086">
        <f t="shared" si="17"/>
        <v>-1539786.6399999987</v>
      </c>
      <c r="AG268" s="1086">
        <f t="shared" si="16"/>
        <v>0</v>
      </c>
      <c r="AQ268" s="1086">
        <v>0</v>
      </c>
      <c r="AR268" s="1086">
        <v>0</v>
      </c>
      <c r="AS268" s="1086">
        <v>-1539786.64</v>
      </c>
      <c r="AT268" s="1086">
        <f t="shared" si="18"/>
        <v>0</v>
      </c>
      <c r="AV268" s="1150">
        <f t="shared" si="19"/>
        <v>14149474.389999999</v>
      </c>
    </row>
    <row r="269" spans="1:48" x14ac:dyDescent="0.2">
      <c r="A269" s="19">
        <v>268</v>
      </c>
      <c r="B269" t="s">
        <v>1569</v>
      </c>
      <c r="C269" t="s">
        <v>1290</v>
      </c>
      <c r="D269" t="s">
        <v>1055</v>
      </c>
      <c r="E269" t="s">
        <v>2190</v>
      </c>
      <c r="F269" t="s">
        <v>2385</v>
      </c>
      <c r="G269" t="s">
        <v>3832</v>
      </c>
      <c r="H269" t="s">
        <v>3822</v>
      </c>
      <c r="I269">
        <v>2221</v>
      </c>
      <c r="J269" t="s">
        <v>3401</v>
      </c>
      <c r="K269" t="s">
        <v>3489</v>
      </c>
      <c r="L269" t="s">
        <v>2740</v>
      </c>
      <c r="M269" s="1086">
        <v>-538993.56999999995</v>
      </c>
      <c r="N269" s="1086">
        <v>2205302.19</v>
      </c>
      <c r="O269" s="1086">
        <v>0</v>
      </c>
      <c r="P269" s="1086">
        <v>1797393.55</v>
      </c>
      <c r="Q269" s="1086">
        <v>0</v>
      </c>
      <c r="R269" s="1086">
        <v>0</v>
      </c>
      <c r="S269" s="1086">
        <v>0</v>
      </c>
      <c r="T269" s="1086">
        <v>361411.06</v>
      </c>
      <c r="U269" s="1086">
        <v>2153.77</v>
      </c>
      <c r="V269" s="1086">
        <v>0</v>
      </c>
      <c r="W269" s="1086">
        <v>0</v>
      </c>
      <c r="X269" s="1086">
        <v>0</v>
      </c>
      <c r="Y269" s="1086">
        <v>0</v>
      </c>
      <c r="Z269" s="1086">
        <v>0</v>
      </c>
      <c r="AA269" s="1086">
        <v>0</v>
      </c>
      <c r="AB269" s="1086">
        <v>0</v>
      </c>
      <c r="AC269" s="1086">
        <v>-494649.76</v>
      </c>
      <c r="AD269" s="1103" t="s">
        <v>1253</v>
      </c>
      <c r="AE269" s="1086" t="s">
        <v>3881</v>
      </c>
      <c r="AF269" s="1086">
        <f t="shared" si="17"/>
        <v>-494649.75999999978</v>
      </c>
      <c r="AG269" s="1086">
        <f t="shared" si="16"/>
        <v>0</v>
      </c>
      <c r="AQ269" s="1086">
        <v>0</v>
      </c>
      <c r="AR269" s="1086">
        <v>0</v>
      </c>
      <c r="AS269" s="1086">
        <v>-494649.76</v>
      </c>
      <c r="AT269" s="1086">
        <f t="shared" si="18"/>
        <v>0</v>
      </c>
      <c r="AV269" s="1150">
        <f t="shared" si="19"/>
        <v>2160958.38</v>
      </c>
    </row>
    <row r="270" spans="1:48" x14ac:dyDescent="0.2">
      <c r="A270" s="19">
        <v>269</v>
      </c>
      <c r="B270" t="s">
        <v>1570</v>
      </c>
      <c r="C270" t="s">
        <v>1290</v>
      </c>
      <c r="D270" t="s">
        <v>1055</v>
      </c>
      <c r="E270" t="s">
        <v>2190</v>
      </c>
      <c r="F270" t="s">
        <v>2385</v>
      </c>
      <c r="G270" t="s">
        <v>3832</v>
      </c>
      <c r="H270" t="s">
        <v>3822</v>
      </c>
      <c r="I270">
        <v>2221</v>
      </c>
      <c r="J270" t="s">
        <v>3401</v>
      </c>
      <c r="K270" t="s">
        <v>3490</v>
      </c>
      <c r="L270" t="s">
        <v>2741</v>
      </c>
      <c r="M270" s="1086">
        <v>250503.44</v>
      </c>
      <c r="N270" s="1086">
        <v>755920.63</v>
      </c>
      <c r="O270" s="1086">
        <v>0</v>
      </c>
      <c r="P270" s="1086">
        <v>848198.77</v>
      </c>
      <c r="Q270" s="1086">
        <v>0</v>
      </c>
      <c r="R270" s="1086">
        <v>0</v>
      </c>
      <c r="S270" s="1086">
        <v>0</v>
      </c>
      <c r="T270" s="1086">
        <v>159025.69</v>
      </c>
      <c r="U270" s="1086">
        <v>3808.44</v>
      </c>
      <c r="V270" s="1086">
        <v>0</v>
      </c>
      <c r="W270" s="1086">
        <v>0</v>
      </c>
      <c r="X270" s="1086">
        <v>303.08999999999997</v>
      </c>
      <c r="Y270" s="1086">
        <v>0</v>
      </c>
      <c r="Z270" s="1086">
        <v>0</v>
      </c>
      <c r="AA270" s="1086">
        <v>0</v>
      </c>
      <c r="AB270" s="1086">
        <v>0</v>
      </c>
      <c r="AC270" s="1086">
        <v>-4911.92</v>
      </c>
      <c r="AD270" s="1103" t="s">
        <v>1253</v>
      </c>
      <c r="AE270" s="1086" t="s">
        <v>3881</v>
      </c>
      <c r="AF270" s="1086">
        <f t="shared" si="17"/>
        <v>-4911.9199999998091</v>
      </c>
      <c r="AG270" s="1086">
        <f t="shared" si="16"/>
        <v>-1.9099388737231493E-10</v>
      </c>
      <c r="AQ270" s="1086">
        <v>0</v>
      </c>
      <c r="AR270" s="1086">
        <v>0</v>
      </c>
      <c r="AS270" s="1086">
        <v>-4911.92</v>
      </c>
      <c r="AT270" s="1086">
        <f t="shared" si="18"/>
        <v>0</v>
      </c>
      <c r="AV270" s="1150">
        <f t="shared" si="19"/>
        <v>1011335.9899999999</v>
      </c>
    </row>
    <row r="271" spans="1:48" x14ac:dyDescent="0.2">
      <c r="A271" s="19">
        <v>270</v>
      </c>
      <c r="B271" t="s">
        <v>1571</v>
      </c>
      <c r="C271" t="s">
        <v>1290</v>
      </c>
      <c r="D271" t="s">
        <v>1055</v>
      </c>
      <c r="E271" t="s">
        <v>2190</v>
      </c>
      <c r="F271" t="s">
        <v>2385</v>
      </c>
      <c r="G271" t="s">
        <v>3832</v>
      </c>
      <c r="H271" t="s">
        <v>3822</v>
      </c>
      <c r="I271">
        <v>2221</v>
      </c>
      <c r="J271" t="s">
        <v>3401</v>
      </c>
      <c r="K271" t="s">
        <v>3491</v>
      </c>
      <c r="L271" t="s">
        <v>2742</v>
      </c>
      <c r="M271" s="1086">
        <v>39044.93</v>
      </c>
      <c r="N271" s="1086">
        <v>3897515.22</v>
      </c>
      <c r="O271" s="1086">
        <v>0</v>
      </c>
      <c r="P271" s="1086">
        <v>3270964.49</v>
      </c>
      <c r="Q271" s="1086">
        <v>0</v>
      </c>
      <c r="R271" s="1086">
        <v>0</v>
      </c>
      <c r="S271" s="1086">
        <v>0</v>
      </c>
      <c r="T271" s="1086">
        <v>642739.61</v>
      </c>
      <c r="U271" s="1086">
        <v>9979.75</v>
      </c>
      <c r="V271" s="1086">
        <v>0</v>
      </c>
      <c r="W271" s="1086">
        <v>0</v>
      </c>
      <c r="X271" s="1086">
        <v>0</v>
      </c>
      <c r="Y271" s="1086">
        <v>0</v>
      </c>
      <c r="Z271" s="1086">
        <v>0</v>
      </c>
      <c r="AA271" s="1086">
        <v>0</v>
      </c>
      <c r="AB271" s="1086">
        <v>0</v>
      </c>
      <c r="AC271" s="1086">
        <v>12876.3</v>
      </c>
      <c r="AD271" s="1103" t="s">
        <v>1253</v>
      </c>
      <c r="AE271" s="1086" t="s">
        <v>3881</v>
      </c>
      <c r="AF271" s="1086">
        <f t="shared" si="17"/>
        <v>12876.300000000279</v>
      </c>
      <c r="AG271" s="1086">
        <f t="shared" si="16"/>
        <v>-2.801243681460619E-10</v>
      </c>
      <c r="AQ271" s="1086">
        <v>0</v>
      </c>
      <c r="AR271" s="1086">
        <v>0</v>
      </c>
      <c r="AS271" s="1086">
        <v>12876.3</v>
      </c>
      <c r="AT271" s="1086">
        <f t="shared" si="18"/>
        <v>0</v>
      </c>
      <c r="AV271" s="1150">
        <f t="shared" si="19"/>
        <v>3923683.85</v>
      </c>
    </row>
    <row r="272" spans="1:48" x14ac:dyDescent="0.2">
      <c r="A272" s="19">
        <v>271</v>
      </c>
      <c r="B272" t="s">
        <v>1572</v>
      </c>
      <c r="C272" t="s">
        <v>1290</v>
      </c>
      <c r="D272" t="s">
        <v>1055</v>
      </c>
      <c r="E272" t="s">
        <v>2190</v>
      </c>
      <c r="F272" t="s">
        <v>2385</v>
      </c>
      <c r="G272" t="s">
        <v>3832</v>
      </c>
      <c r="H272" t="s">
        <v>3822</v>
      </c>
      <c r="I272">
        <v>2221</v>
      </c>
      <c r="J272" t="s">
        <v>3401</v>
      </c>
      <c r="K272" t="s">
        <v>3492</v>
      </c>
      <c r="L272" t="s">
        <v>2743</v>
      </c>
      <c r="M272" s="1086">
        <v>-1237.9000000000001</v>
      </c>
      <c r="N272" s="1086">
        <v>255247.85</v>
      </c>
      <c r="O272" s="1086">
        <v>1247.9000000000001</v>
      </c>
      <c r="P272" s="1086">
        <v>215511.48</v>
      </c>
      <c r="Q272" s="1086">
        <v>0</v>
      </c>
      <c r="R272" s="1086">
        <v>0</v>
      </c>
      <c r="S272" s="1086">
        <v>0</v>
      </c>
      <c r="T272" s="1086">
        <v>39495.03</v>
      </c>
      <c r="U272" s="1086">
        <v>251.34</v>
      </c>
      <c r="V272" s="1086">
        <v>0</v>
      </c>
      <c r="W272" s="1086">
        <v>0</v>
      </c>
      <c r="X272" s="1086">
        <v>0</v>
      </c>
      <c r="Y272" s="1086">
        <v>0</v>
      </c>
      <c r="Z272" s="1086">
        <v>0</v>
      </c>
      <c r="AA272" s="1086">
        <v>0</v>
      </c>
      <c r="AB272" s="1086">
        <v>0</v>
      </c>
      <c r="AC272" s="1086">
        <v>0</v>
      </c>
      <c r="AD272" s="1103" t="s">
        <v>1253</v>
      </c>
      <c r="AE272" s="1086" t="s">
        <v>3881</v>
      </c>
      <c r="AF272" s="1086">
        <f t="shared" si="17"/>
        <v>0</v>
      </c>
      <c r="AG272" s="1086">
        <f t="shared" si="16"/>
        <v>0</v>
      </c>
      <c r="AQ272" s="1086">
        <v>0</v>
      </c>
      <c r="AR272" s="1086">
        <v>0</v>
      </c>
      <c r="AS272" s="1086">
        <v>0</v>
      </c>
      <c r="AT272" s="1086">
        <f t="shared" si="18"/>
        <v>0</v>
      </c>
      <c r="AV272" s="1150">
        <f t="shared" si="19"/>
        <v>255257.85</v>
      </c>
    </row>
    <row r="273" spans="1:48" x14ac:dyDescent="0.2">
      <c r="A273" s="19">
        <v>272</v>
      </c>
      <c r="B273" t="s">
        <v>1573</v>
      </c>
      <c r="C273" t="s">
        <v>1290</v>
      </c>
      <c r="D273" t="s">
        <v>1055</v>
      </c>
      <c r="E273" t="s">
        <v>2190</v>
      </c>
      <c r="F273" t="s">
        <v>2385</v>
      </c>
      <c r="G273" t="s">
        <v>3832</v>
      </c>
      <c r="H273" t="s">
        <v>3822</v>
      </c>
      <c r="I273">
        <v>2221</v>
      </c>
      <c r="J273" t="s">
        <v>3401</v>
      </c>
      <c r="K273" t="s">
        <v>3493</v>
      </c>
      <c r="L273" t="s">
        <v>2744</v>
      </c>
      <c r="M273" s="1086">
        <v>20741.79</v>
      </c>
      <c r="N273" s="1086">
        <v>287802.36</v>
      </c>
      <c r="O273" s="1086">
        <v>0</v>
      </c>
      <c r="P273" s="1086">
        <v>3575.8</v>
      </c>
      <c r="Q273" s="1086">
        <v>0</v>
      </c>
      <c r="R273" s="1086">
        <v>0</v>
      </c>
      <c r="S273" s="1086">
        <v>0</v>
      </c>
      <c r="T273" s="1086">
        <v>244.75</v>
      </c>
      <c r="U273" s="1086">
        <v>356.58</v>
      </c>
      <c r="V273" s="1086">
        <v>0</v>
      </c>
      <c r="W273" s="1086">
        <v>0</v>
      </c>
      <c r="X273" s="1086">
        <v>0</v>
      </c>
      <c r="Y273" s="1086">
        <v>0</v>
      </c>
      <c r="Z273" s="1086">
        <v>0</v>
      </c>
      <c r="AA273" s="1086">
        <v>13890.94</v>
      </c>
      <c r="AB273" s="1086">
        <v>0</v>
      </c>
      <c r="AC273" s="1086">
        <v>290476.08</v>
      </c>
      <c r="AD273" s="1103" t="s">
        <v>1253</v>
      </c>
      <c r="AE273" s="1086" t="s">
        <v>3881</v>
      </c>
      <c r="AF273" s="1086">
        <f t="shared" si="17"/>
        <v>290476.07999999996</v>
      </c>
      <c r="AG273" s="1086">
        <f t="shared" si="16"/>
        <v>0</v>
      </c>
      <c r="AQ273" s="1086">
        <v>0</v>
      </c>
      <c r="AR273" s="1086">
        <v>0</v>
      </c>
      <c r="AS273" s="1086">
        <v>290476.08</v>
      </c>
      <c r="AT273" s="1086">
        <f t="shared" si="18"/>
        <v>0</v>
      </c>
      <c r="AV273" s="1150">
        <f t="shared" si="19"/>
        <v>18068.07</v>
      </c>
    </row>
    <row r="274" spans="1:48" x14ac:dyDescent="0.2">
      <c r="A274" s="19">
        <v>273</v>
      </c>
      <c r="B274" t="s">
        <v>1574</v>
      </c>
      <c r="C274" t="s">
        <v>1290</v>
      </c>
      <c r="D274" t="s">
        <v>1055</v>
      </c>
      <c r="E274" t="s">
        <v>2190</v>
      </c>
      <c r="F274" t="s">
        <v>2385</v>
      </c>
      <c r="G274" t="s">
        <v>3832</v>
      </c>
      <c r="H274" t="s">
        <v>3822</v>
      </c>
      <c r="I274">
        <v>2221</v>
      </c>
      <c r="J274" t="s">
        <v>3401</v>
      </c>
      <c r="K274" t="s">
        <v>3494</v>
      </c>
      <c r="L274" t="s">
        <v>2745</v>
      </c>
      <c r="M274" s="1086">
        <v>171567.9</v>
      </c>
      <c r="N274" s="1086">
        <v>3843405.44</v>
      </c>
      <c r="O274" s="1086">
        <v>0</v>
      </c>
      <c r="P274" s="1086">
        <v>3320155.78</v>
      </c>
      <c r="Q274" s="1086">
        <v>0</v>
      </c>
      <c r="R274" s="1086">
        <v>0</v>
      </c>
      <c r="S274" s="1086">
        <v>0</v>
      </c>
      <c r="T274" s="1086">
        <v>690981.15</v>
      </c>
      <c r="U274" s="1086">
        <v>3666.03</v>
      </c>
      <c r="V274" s="1086">
        <v>0</v>
      </c>
      <c r="W274" s="1086">
        <v>0</v>
      </c>
      <c r="X274" s="1086">
        <v>0</v>
      </c>
      <c r="Y274" s="1086">
        <v>0</v>
      </c>
      <c r="Z274" s="1086">
        <v>0</v>
      </c>
      <c r="AA274" s="1086">
        <v>0</v>
      </c>
      <c r="AB274" s="1086">
        <v>0</v>
      </c>
      <c r="AC274" s="1086">
        <v>170.38</v>
      </c>
      <c r="AD274" s="1103" t="s">
        <v>1253</v>
      </c>
      <c r="AE274" s="1086" t="s">
        <v>3881</v>
      </c>
      <c r="AF274" s="1086">
        <f t="shared" si="17"/>
        <v>170.3800000003539</v>
      </c>
      <c r="AG274" s="1086">
        <f t="shared" si="16"/>
        <v>-3.539071258273907E-10</v>
      </c>
      <c r="AQ274" s="1086">
        <v>0</v>
      </c>
      <c r="AR274" s="1086">
        <v>0</v>
      </c>
      <c r="AS274" s="1086">
        <v>170.38</v>
      </c>
      <c r="AT274" s="1086">
        <f t="shared" si="18"/>
        <v>0</v>
      </c>
      <c r="AV274" s="1150">
        <f t="shared" si="19"/>
        <v>4014802.9599999995</v>
      </c>
    </row>
    <row r="275" spans="1:48" x14ac:dyDescent="0.2">
      <c r="A275" s="19">
        <v>274</v>
      </c>
      <c r="B275" t="s">
        <v>1575</v>
      </c>
      <c r="C275" t="s">
        <v>1290</v>
      </c>
      <c r="D275" t="s">
        <v>1055</v>
      </c>
      <c r="E275" t="s">
        <v>2190</v>
      </c>
      <c r="F275" t="s">
        <v>2385</v>
      </c>
      <c r="G275" t="s">
        <v>3832</v>
      </c>
      <c r="H275" t="s">
        <v>3822</v>
      </c>
      <c r="I275">
        <v>2221</v>
      </c>
      <c r="J275" t="s">
        <v>3401</v>
      </c>
      <c r="K275" t="s">
        <v>3495</v>
      </c>
      <c r="L275" t="s">
        <v>2746</v>
      </c>
      <c r="M275" s="1086">
        <v>249935.55</v>
      </c>
      <c r="N275" s="1086">
        <v>3366218.61</v>
      </c>
      <c r="O275" s="1086">
        <v>0</v>
      </c>
      <c r="P275" s="1086">
        <v>2962319.09</v>
      </c>
      <c r="Q275" s="1086">
        <v>0</v>
      </c>
      <c r="R275" s="1086">
        <v>0</v>
      </c>
      <c r="S275" s="1086">
        <v>0</v>
      </c>
      <c r="T275" s="1086">
        <v>562943.99</v>
      </c>
      <c r="U275" s="1086">
        <v>62364.27</v>
      </c>
      <c r="V275" s="1086">
        <v>0</v>
      </c>
      <c r="W275" s="1086">
        <v>0</v>
      </c>
      <c r="X275" s="1086">
        <v>0</v>
      </c>
      <c r="Y275" s="1086">
        <v>0</v>
      </c>
      <c r="Z275" s="1086">
        <v>0</v>
      </c>
      <c r="AA275" s="1086">
        <v>0</v>
      </c>
      <c r="AB275" s="1086">
        <v>0</v>
      </c>
      <c r="AC275" s="1086">
        <v>28526.81</v>
      </c>
      <c r="AD275" s="1103" t="s">
        <v>1253</v>
      </c>
      <c r="AE275" s="1086" t="s">
        <v>3881</v>
      </c>
      <c r="AF275" s="1086">
        <f t="shared" si="17"/>
        <v>28526.80999999959</v>
      </c>
      <c r="AG275" s="1086">
        <f t="shared" si="16"/>
        <v>4.1109160520136356E-10</v>
      </c>
      <c r="AQ275" s="1086">
        <v>0</v>
      </c>
      <c r="AR275" s="1086">
        <v>0</v>
      </c>
      <c r="AS275" s="1086">
        <v>28526.81</v>
      </c>
      <c r="AT275" s="1086">
        <f t="shared" si="18"/>
        <v>0</v>
      </c>
      <c r="AV275" s="1150">
        <f t="shared" si="19"/>
        <v>3587627.35</v>
      </c>
    </row>
    <row r="276" spans="1:48" x14ac:dyDescent="0.2">
      <c r="A276" s="19">
        <v>275</v>
      </c>
      <c r="B276" t="s">
        <v>1576</v>
      </c>
      <c r="C276" t="s">
        <v>1290</v>
      </c>
      <c r="D276" t="s">
        <v>1055</v>
      </c>
      <c r="E276" t="s">
        <v>2190</v>
      </c>
      <c r="F276" t="s">
        <v>2385</v>
      </c>
      <c r="G276" t="s">
        <v>3832</v>
      </c>
      <c r="H276" t="s">
        <v>3822</v>
      </c>
      <c r="I276">
        <v>2221</v>
      </c>
      <c r="J276" t="s">
        <v>3401</v>
      </c>
      <c r="K276" t="s">
        <v>3496</v>
      </c>
      <c r="L276" t="s">
        <v>2747</v>
      </c>
      <c r="M276" s="1086">
        <v>182745.81</v>
      </c>
      <c r="N276" s="1086">
        <v>896875.86</v>
      </c>
      <c r="O276" s="1086">
        <v>0</v>
      </c>
      <c r="P276" s="1086">
        <v>916410.81</v>
      </c>
      <c r="Q276" s="1086">
        <v>0</v>
      </c>
      <c r="R276" s="1086">
        <v>0</v>
      </c>
      <c r="S276" s="1086">
        <v>0</v>
      </c>
      <c r="T276" s="1086">
        <v>155985.17000000001</v>
      </c>
      <c r="U276" s="1086">
        <v>3299.05</v>
      </c>
      <c r="V276" s="1086">
        <v>0</v>
      </c>
      <c r="W276" s="1086">
        <v>0</v>
      </c>
      <c r="X276" s="1086">
        <v>0</v>
      </c>
      <c r="Y276" s="1086">
        <v>0</v>
      </c>
      <c r="Z276" s="1086">
        <v>0</v>
      </c>
      <c r="AA276" s="1086">
        <v>0</v>
      </c>
      <c r="AB276" s="1086">
        <v>0</v>
      </c>
      <c r="AC276" s="1086">
        <v>3926.64</v>
      </c>
      <c r="AD276" s="1103" t="s">
        <v>1253</v>
      </c>
      <c r="AE276" s="1086" t="s">
        <v>3881</v>
      </c>
      <c r="AF276" s="1086">
        <f t="shared" si="17"/>
        <v>3926.6399999998976</v>
      </c>
      <c r="AG276" s="1086">
        <f t="shared" si="16"/>
        <v>1.0231815394945443E-10</v>
      </c>
      <c r="AQ276" s="1086">
        <v>0</v>
      </c>
      <c r="AR276" s="1086">
        <v>0</v>
      </c>
      <c r="AS276" s="1086">
        <v>3926.64</v>
      </c>
      <c r="AT276" s="1086">
        <f t="shared" si="18"/>
        <v>0</v>
      </c>
      <c r="AV276" s="1150">
        <f t="shared" si="19"/>
        <v>1075695.03</v>
      </c>
    </row>
    <row r="277" spans="1:48" x14ac:dyDescent="0.2">
      <c r="A277" s="19">
        <v>276</v>
      </c>
      <c r="B277" t="s">
        <v>1577</v>
      </c>
      <c r="C277" t="s">
        <v>1290</v>
      </c>
      <c r="D277" t="s">
        <v>1055</v>
      </c>
      <c r="E277" t="s">
        <v>2190</v>
      </c>
      <c r="F277" t="s">
        <v>2385</v>
      </c>
      <c r="G277" t="s">
        <v>3832</v>
      </c>
      <c r="H277" t="s">
        <v>3822</v>
      </c>
      <c r="I277">
        <v>2221</v>
      </c>
      <c r="J277" t="s">
        <v>3401</v>
      </c>
      <c r="K277" t="s">
        <v>3497</v>
      </c>
      <c r="L277" t="s">
        <v>2748</v>
      </c>
      <c r="M277" s="1086">
        <v>-476719.66</v>
      </c>
      <c r="N277" s="1086">
        <v>1154967.73</v>
      </c>
      <c r="O277" s="1086">
        <v>0</v>
      </c>
      <c r="P277" s="1086">
        <v>600067.81999999995</v>
      </c>
      <c r="Q277" s="1086">
        <v>0</v>
      </c>
      <c r="R277" s="1086">
        <v>0</v>
      </c>
      <c r="S277" s="1086">
        <v>0</v>
      </c>
      <c r="T277" s="1086">
        <v>111484.82</v>
      </c>
      <c r="U277" s="1086">
        <v>18103.22</v>
      </c>
      <c r="V277" s="1086">
        <v>0</v>
      </c>
      <c r="W277" s="1086">
        <v>3266.35</v>
      </c>
      <c r="X277" s="1086">
        <v>2885.62</v>
      </c>
      <c r="Y277" s="1086">
        <v>-71933.42</v>
      </c>
      <c r="Z277" s="1086">
        <v>0</v>
      </c>
      <c r="AA277" s="1086">
        <v>0</v>
      </c>
      <c r="AB277" s="1086">
        <v>0</v>
      </c>
      <c r="AC277" s="1086">
        <v>14373.66</v>
      </c>
      <c r="AD277" s="1103" t="s">
        <v>1253</v>
      </c>
      <c r="AE277" s="1086" t="s">
        <v>3881</v>
      </c>
      <c r="AF277" s="1086">
        <f t="shared" si="17"/>
        <v>14373.660000000265</v>
      </c>
      <c r="AG277" s="1086">
        <f t="shared" si="16"/>
        <v>-2.6557245291769505E-10</v>
      </c>
      <c r="AQ277" s="1086">
        <v>0</v>
      </c>
      <c r="AR277" s="1086">
        <v>0</v>
      </c>
      <c r="AS277" s="1086">
        <v>14373.66</v>
      </c>
      <c r="AT277" s="1086">
        <f t="shared" si="18"/>
        <v>0</v>
      </c>
      <c r="AV277" s="1150">
        <f t="shared" si="19"/>
        <v>663874.4099999998</v>
      </c>
    </row>
    <row r="278" spans="1:48" x14ac:dyDescent="0.2">
      <c r="A278" s="19">
        <v>277</v>
      </c>
      <c r="B278" t="s">
        <v>1578</v>
      </c>
      <c r="C278" t="s">
        <v>1290</v>
      </c>
      <c r="D278" t="s">
        <v>1055</v>
      </c>
      <c r="E278" t="s">
        <v>2190</v>
      </c>
      <c r="F278" t="s">
        <v>2385</v>
      </c>
      <c r="G278" t="s">
        <v>3832</v>
      </c>
      <c r="H278" t="s">
        <v>3822</v>
      </c>
      <c r="I278">
        <v>2221</v>
      </c>
      <c r="J278" t="s">
        <v>3401</v>
      </c>
      <c r="K278" t="s">
        <v>3498</v>
      </c>
      <c r="L278" t="s">
        <v>2749</v>
      </c>
      <c r="M278" s="1086">
        <v>216885.48</v>
      </c>
      <c r="N278" s="1086">
        <v>7650199.6900000004</v>
      </c>
      <c r="O278" s="1086">
        <v>0</v>
      </c>
      <c r="P278" s="1086">
        <v>6755295.6799999997</v>
      </c>
      <c r="Q278" s="1086">
        <v>0</v>
      </c>
      <c r="R278" s="1086">
        <v>0</v>
      </c>
      <c r="S278" s="1086">
        <v>0</v>
      </c>
      <c r="T278" s="1086">
        <v>1104015.55</v>
      </c>
      <c r="U278" s="1086">
        <v>6769.23</v>
      </c>
      <c r="V278" s="1086">
        <v>0</v>
      </c>
      <c r="W278" s="1086">
        <v>0</v>
      </c>
      <c r="X278" s="1086">
        <v>0</v>
      </c>
      <c r="Y278" s="1086">
        <v>0</v>
      </c>
      <c r="Z278" s="1086">
        <v>0</v>
      </c>
      <c r="AA278" s="1086">
        <v>0</v>
      </c>
      <c r="AB278" s="1086">
        <v>0</v>
      </c>
      <c r="AC278" s="1086">
        <v>1004.71</v>
      </c>
      <c r="AD278" s="1103" t="s">
        <v>1253</v>
      </c>
      <c r="AE278" s="1086" t="s">
        <v>3881</v>
      </c>
      <c r="AF278" s="1086">
        <f t="shared" si="17"/>
        <v>1004.7100000008941</v>
      </c>
      <c r="AG278" s="1086">
        <f t="shared" si="16"/>
        <v>-8.9403329184278846E-10</v>
      </c>
      <c r="AQ278" s="1086">
        <v>0</v>
      </c>
      <c r="AR278" s="1086">
        <v>0</v>
      </c>
      <c r="AS278" s="1086">
        <v>1004.71</v>
      </c>
      <c r="AT278" s="1086">
        <f t="shared" si="18"/>
        <v>0</v>
      </c>
      <c r="AV278" s="1150">
        <f t="shared" si="19"/>
        <v>7866080.46</v>
      </c>
    </row>
    <row r="279" spans="1:48" x14ac:dyDescent="0.2">
      <c r="A279" s="19">
        <v>278</v>
      </c>
      <c r="B279" t="s">
        <v>1579</v>
      </c>
      <c r="C279" t="s">
        <v>1290</v>
      </c>
      <c r="D279" t="s">
        <v>1055</v>
      </c>
      <c r="E279" t="s">
        <v>2190</v>
      </c>
      <c r="F279" t="s">
        <v>2385</v>
      </c>
      <c r="G279" t="s">
        <v>3832</v>
      </c>
      <c r="H279" t="s">
        <v>3822</v>
      </c>
      <c r="I279">
        <v>2221</v>
      </c>
      <c r="J279" t="s">
        <v>3401</v>
      </c>
      <c r="K279" t="s">
        <v>3499</v>
      </c>
      <c r="L279" t="s">
        <v>2750</v>
      </c>
      <c r="M279" s="1086">
        <v>18021.080000000002</v>
      </c>
      <c r="N279" s="1086">
        <v>2294242.15</v>
      </c>
      <c r="O279" s="1086">
        <v>24707.15</v>
      </c>
      <c r="P279" s="1086">
        <v>1971623.41</v>
      </c>
      <c r="Q279" s="1086">
        <v>0</v>
      </c>
      <c r="R279" s="1086">
        <v>2067.12</v>
      </c>
      <c r="S279" s="1086">
        <v>0</v>
      </c>
      <c r="T279" s="1086">
        <v>363468.05</v>
      </c>
      <c r="U279" s="1086">
        <v>552.73</v>
      </c>
      <c r="V279" s="1086">
        <v>0</v>
      </c>
      <c r="W279" s="1086">
        <v>0</v>
      </c>
      <c r="X279" s="1086">
        <v>0</v>
      </c>
      <c r="Y279" s="1086">
        <v>0</v>
      </c>
      <c r="Z279" s="1086">
        <v>0</v>
      </c>
      <c r="AA279" s="1086">
        <v>0</v>
      </c>
      <c r="AB279" s="1086">
        <v>0</v>
      </c>
      <c r="AC279" s="1086">
        <v>-740.93</v>
      </c>
      <c r="AD279" s="1103" t="s">
        <v>1253</v>
      </c>
      <c r="AE279" s="1086" t="s">
        <v>3881</v>
      </c>
      <c r="AF279" s="1086">
        <f t="shared" si="17"/>
        <v>-740.93000000016764</v>
      </c>
      <c r="AG279" s="1086">
        <f t="shared" si="16"/>
        <v>1.6768808563938364E-10</v>
      </c>
      <c r="AQ279" s="1086">
        <v>0</v>
      </c>
      <c r="AR279" s="1086">
        <v>0</v>
      </c>
      <c r="AS279" s="1086">
        <v>-740.93</v>
      </c>
      <c r="AT279" s="1086">
        <f t="shared" si="18"/>
        <v>0</v>
      </c>
      <c r="AV279" s="1150">
        <f t="shared" si="19"/>
        <v>2337711.31</v>
      </c>
    </row>
    <row r="280" spans="1:48" x14ac:dyDescent="0.2">
      <c r="A280" s="19">
        <v>279</v>
      </c>
      <c r="B280" t="s">
        <v>1580</v>
      </c>
      <c r="C280" t="s">
        <v>1290</v>
      </c>
      <c r="D280" t="s">
        <v>1055</v>
      </c>
      <c r="E280" t="s">
        <v>2190</v>
      </c>
      <c r="F280" t="s">
        <v>2385</v>
      </c>
      <c r="G280" t="s">
        <v>3832</v>
      </c>
      <c r="H280" t="s">
        <v>3822</v>
      </c>
      <c r="I280" t="s">
        <v>3251</v>
      </c>
      <c r="J280" t="s">
        <v>3251</v>
      </c>
      <c r="K280" t="s">
        <v>3251</v>
      </c>
      <c r="L280" t="s">
        <v>2751</v>
      </c>
      <c r="M280" s="1086">
        <v>0</v>
      </c>
      <c r="N280" s="1086">
        <v>267007.92</v>
      </c>
      <c r="O280" s="1086">
        <v>0</v>
      </c>
      <c r="P280" s="1086">
        <v>254526.8</v>
      </c>
      <c r="Q280" s="1086">
        <v>0</v>
      </c>
      <c r="R280" s="1086">
        <v>0</v>
      </c>
      <c r="S280" s="1086">
        <v>0</v>
      </c>
      <c r="T280" s="1086">
        <v>69660.62</v>
      </c>
      <c r="U280" s="1086">
        <v>602.82000000000005</v>
      </c>
      <c r="V280" s="1086">
        <v>0</v>
      </c>
      <c r="W280" s="1086">
        <v>0</v>
      </c>
      <c r="X280" s="1086">
        <v>4527.12</v>
      </c>
      <c r="Y280" s="1086">
        <v>0</v>
      </c>
      <c r="Z280" s="1086">
        <v>0</v>
      </c>
      <c r="AA280" s="1086">
        <v>0</v>
      </c>
      <c r="AB280" s="1086">
        <v>0</v>
      </c>
      <c r="AC280" s="1086">
        <v>-62309.440000000002</v>
      </c>
      <c r="AD280" s="1103" t="s">
        <v>1253</v>
      </c>
      <c r="AE280" s="1086" t="s">
        <v>3881</v>
      </c>
      <c r="AF280" s="1086">
        <f t="shared" si="17"/>
        <v>-62309.440000000002</v>
      </c>
      <c r="AG280" s="1086">
        <f t="shared" si="16"/>
        <v>0</v>
      </c>
      <c r="AQ280" s="1086">
        <v>0</v>
      </c>
      <c r="AR280" s="1086">
        <v>0</v>
      </c>
      <c r="AS280" s="1086">
        <v>-62309.440000000002</v>
      </c>
      <c r="AT280" s="1086">
        <f t="shared" si="18"/>
        <v>0</v>
      </c>
      <c r="AV280" s="1150">
        <f t="shared" si="19"/>
        <v>329317.36</v>
      </c>
    </row>
    <row r="281" spans="1:48" x14ac:dyDescent="0.2">
      <c r="A281" s="19">
        <v>280</v>
      </c>
      <c r="B281" t="s">
        <v>1581</v>
      </c>
      <c r="C281" t="s">
        <v>1290</v>
      </c>
      <c r="D281" t="s">
        <v>1055</v>
      </c>
      <c r="E281" t="s">
        <v>2190</v>
      </c>
      <c r="F281" t="s">
        <v>2385</v>
      </c>
      <c r="G281" t="s">
        <v>3832</v>
      </c>
      <c r="H281" t="s">
        <v>3822</v>
      </c>
      <c r="I281" t="s">
        <v>3251</v>
      </c>
      <c r="J281" t="s">
        <v>3251</v>
      </c>
      <c r="K281" t="s">
        <v>3251</v>
      </c>
      <c r="L281" t="s">
        <v>2752</v>
      </c>
      <c r="M281" s="1086">
        <v>0</v>
      </c>
      <c r="N281" s="1086">
        <v>844410.25</v>
      </c>
      <c r="O281" s="1086">
        <v>0</v>
      </c>
      <c r="P281" s="1086">
        <v>566864.62</v>
      </c>
      <c r="Q281" s="1086">
        <v>0</v>
      </c>
      <c r="R281" s="1086">
        <v>0</v>
      </c>
      <c r="S281" s="1086">
        <v>0</v>
      </c>
      <c r="T281" s="1086">
        <v>91933.6</v>
      </c>
      <c r="U281" s="1086">
        <v>8546.7000000000007</v>
      </c>
      <c r="V281" s="1086">
        <v>0</v>
      </c>
      <c r="W281" s="1086">
        <v>743.19</v>
      </c>
      <c r="X281" s="1086">
        <v>0</v>
      </c>
      <c r="Y281" s="1086">
        <v>0</v>
      </c>
      <c r="Z281" s="1086">
        <v>0</v>
      </c>
      <c r="AA281" s="1086">
        <v>0</v>
      </c>
      <c r="AB281" s="1086">
        <v>0</v>
      </c>
      <c r="AC281" s="1086">
        <v>176322.14</v>
      </c>
      <c r="AD281" s="1103" t="s">
        <v>1253</v>
      </c>
      <c r="AE281" s="1086" t="s">
        <v>3881</v>
      </c>
      <c r="AF281" s="1086">
        <f t="shared" si="17"/>
        <v>176322.14000000013</v>
      </c>
      <c r="AG281" s="1086">
        <f t="shared" si="16"/>
        <v>0</v>
      </c>
      <c r="AQ281" s="1086">
        <v>0</v>
      </c>
      <c r="AR281" s="1086">
        <v>0</v>
      </c>
      <c r="AS281" s="1086">
        <v>176322.14</v>
      </c>
      <c r="AT281" s="1086">
        <f t="shared" si="18"/>
        <v>0</v>
      </c>
      <c r="AV281" s="1150">
        <f t="shared" si="19"/>
        <v>668088.10999999987</v>
      </c>
    </row>
    <row r="282" spans="1:48" x14ac:dyDescent="0.2">
      <c r="A282" s="19">
        <v>281</v>
      </c>
      <c r="B282" t="s">
        <v>1582</v>
      </c>
      <c r="C282" t="s">
        <v>1290</v>
      </c>
      <c r="D282" t="s">
        <v>1056</v>
      </c>
      <c r="E282" t="s">
        <v>2191</v>
      </c>
      <c r="F282" t="s">
        <v>2386</v>
      </c>
      <c r="G282" t="s">
        <v>1256</v>
      </c>
      <c r="H282" t="s">
        <v>3828</v>
      </c>
      <c r="I282" t="s">
        <v>3839</v>
      </c>
      <c r="J282" t="s">
        <v>3465</v>
      </c>
      <c r="K282" t="s">
        <v>3500</v>
      </c>
      <c r="L282" t="s">
        <v>2753</v>
      </c>
      <c r="M282" s="1086">
        <v>3309682.54</v>
      </c>
      <c r="N282" s="1086">
        <v>0</v>
      </c>
      <c r="O282" s="1086">
        <v>0</v>
      </c>
      <c r="P282" s="1086">
        <v>108228.14</v>
      </c>
      <c r="Q282" s="1086">
        <v>0</v>
      </c>
      <c r="R282" s="1086">
        <v>652.1</v>
      </c>
      <c r="S282" s="1086">
        <v>13922.1</v>
      </c>
      <c r="T282" s="1086">
        <v>21132.95</v>
      </c>
      <c r="U282" s="1086">
        <v>108399.92</v>
      </c>
      <c r="V282" s="1086">
        <v>0</v>
      </c>
      <c r="W282" s="1086">
        <v>0</v>
      </c>
      <c r="X282" s="1086">
        <v>8166.86</v>
      </c>
      <c r="Y282" s="1086">
        <v>-797860.88</v>
      </c>
      <c r="Z282" s="1086">
        <v>0</v>
      </c>
      <c r="AA282" s="1086">
        <v>340332.3</v>
      </c>
      <c r="AB282" s="1086">
        <v>0</v>
      </c>
      <c r="AC282" s="1086">
        <v>3506709.05</v>
      </c>
      <c r="AD282" s="1086" t="s">
        <v>248</v>
      </c>
      <c r="AE282" s="1086" t="s">
        <v>3877</v>
      </c>
      <c r="AF282" s="1086">
        <f t="shared" si="17"/>
        <v>3506709.0500000003</v>
      </c>
      <c r="AG282" s="1086">
        <f t="shared" si="16"/>
        <v>0</v>
      </c>
      <c r="AQ282" s="1086">
        <v>0</v>
      </c>
      <c r="AR282" s="1086">
        <v>0</v>
      </c>
      <c r="AS282" s="1086">
        <v>3506709.05</v>
      </c>
      <c r="AT282" s="1086">
        <f t="shared" si="18"/>
        <v>0</v>
      </c>
      <c r="AV282" s="1150">
        <f t="shared" si="19"/>
        <v>-197026.51000000007</v>
      </c>
    </row>
    <row r="283" spans="1:48" x14ac:dyDescent="0.2">
      <c r="A283" s="19">
        <v>282</v>
      </c>
      <c r="B283" t="s">
        <v>1583</v>
      </c>
      <c r="C283" t="s">
        <v>1290</v>
      </c>
      <c r="D283" t="s">
        <v>1059</v>
      </c>
      <c r="E283" t="s">
        <v>2192</v>
      </c>
      <c r="F283" t="s">
        <v>2387</v>
      </c>
      <c r="G283" t="s">
        <v>1250</v>
      </c>
      <c r="H283" t="s">
        <v>3822</v>
      </c>
      <c r="I283" t="s">
        <v>3839</v>
      </c>
      <c r="J283" t="s">
        <v>3257</v>
      </c>
      <c r="K283" t="s">
        <v>3501</v>
      </c>
      <c r="L283" t="s">
        <v>2754</v>
      </c>
      <c r="M283" s="1086">
        <v>52196.6</v>
      </c>
      <c r="N283" s="1086">
        <v>22412.34</v>
      </c>
      <c r="O283" s="1086">
        <v>66036.37</v>
      </c>
      <c r="P283" s="1086">
        <v>11499.88</v>
      </c>
      <c r="Q283" s="1086">
        <v>0</v>
      </c>
      <c r="R283" s="1086">
        <v>0</v>
      </c>
      <c r="S283" s="1086">
        <v>48.95</v>
      </c>
      <c r="T283" s="1086">
        <v>2570.92</v>
      </c>
      <c r="U283" s="1086">
        <v>10389.14</v>
      </c>
      <c r="V283" s="1086">
        <v>0</v>
      </c>
      <c r="W283" s="1086">
        <v>4483.78</v>
      </c>
      <c r="X283" s="1086">
        <v>18494.439999999999</v>
      </c>
      <c r="Y283" s="1086">
        <v>0</v>
      </c>
      <c r="Z283" s="1086">
        <v>0</v>
      </c>
      <c r="AA283" s="1086">
        <v>681.47</v>
      </c>
      <c r="AB283" s="1086">
        <v>0</v>
      </c>
      <c r="AC283" s="1086">
        <v>92476.73</v>
      </c>
      <c r="AD283" s="1086" t="s">
        <v>248</v>
      </c>
      <c r="AE283" s="1086" t="s">
        <v>3877</v>
      </c>
      <c r="AF283" s="1086">
        <f t="shared" si="17"/>
        <v>92476.73</v>
      </c>
      <c r="AG283" s="1086">
        <f t="shared" si="16"/>
        <v>0</v>
      </c>
      <c r="AQ283" s="1086">
        <v>0</v>
      </c>
      <c r="AR283" s="1086">
        <v>0</v>
      </c>
      <c r="AS283" s="1086">
        <v>92476.73</v>
      </c>
      <c r="AT283" s="1086">
        <f t="shared" si="18"/>
        <v>0</v>
      </c>
      <c r="AV283" s="1150">
        <f t="shared" si="19"/>
        <v>48168.58</v>
      </c>
    </row>
    <row r="284" spans="1:48" x14ac:dyDescent="0.2">
      <c r="A284" s="19">
        <v>283</v>
      </c>
      <c r="B284" t="s">
        <v>1584</v>
      </c>
      <c r="C284" t="s">
        <v>1290</v>
      </c>
      <c r="D284" t="s">
        <v>1048</v>
      </c>
      <c r="E284" t="s">
        <v>2193</v>
      </c>
      <c r="F284" t="s">
        <v>2388</v>
      </c>
      <c r="G284" t="s">
        <v>1257</v>
      </c>
      <c r="H284" t="s">
        <v>3826</v>
      </c>
      <c r="I284" t="s">
        <v>3839</v>
      </c>
      <c r="J284" t="s">
        <v>3502</v>
      </c>
      <c r="K284" t="s">
        <v>3503</v>
      </c>
      <c r="L284" t="s">
        <v>2388</v>
      </c>
      <c r="M284" s="1086">
        <v>1172765.2</v>
      </c>
      <c r="N284" s="1086">
        <v>1222166.71</v>
      </c>
      <c r="O284" s="1086">
        <v>1101912.52</v>
      </c>
      <c r="P284" s="1086">
        <v>212124.01</v>
      </c>
      <c r="Q284" s="1086">
        <v>12500</v>
      </c>
      <c r="R284" s="1086">
        <v>0</v>
      </c>
      <c r="S284" s="1086">
        <v>105041</v>
      </c>
      <c r="T284" s="1086">
        <v>60913.919999999998</v>
      </c>
      <c r="U284" s="1086">
        <v>614258.68000000005</v>
      </c>
      <c r="V284" s="1086">
        <v>0</v>
      </c>
      <c r="W284" s="1086">
        <v>37913.43</v>
      </c>
      <c r="X284" s="1086">
        <v>10076.91</v>
      </c>
      <c r="Y284" s="1086">
        <v>0</v>
      </c>
      <c r="Z284" s="1086">
        <v>0</v>
      </c>
      <c r="AA284" s="1086">
        <v>987104.84</v>
      </c>
      <c r="AB284" s="1086">
        <v>0</v>
      </c>
      <c r="AC284" s="1086">
        <v>1456911.64</v>
      </c>
      <c r="AD284" s="1086" t="s">
        <v>248</v>
      </c>
      <c r="AE284" s="1086" t="s">
        <v>3877</v>
      </c>
      <c r="AF284" s="1086">
        <f t="shared" si="17"/>
        <v>1456911.6400000001</v>
      </c>
      <c r="AG284" s="1086">
        <f t="shared" si="16"/>
        <v>0</v>
      </c>
      <c r="AQ284" s="1086">
        <v>0</v>
      </c>
      <c r="AR284" s="1086">
        <v>0</v>
      </c>
      <c r="AS284" s="1086">
        <v>1456911.64</v>
      </c>
      <c r="AT284" s="1086">
        <f t="shared" si="18"/>
        <v>0</v>
      </c>
      <c r="AV284" s="1150">
        <f t="shared" si="19"/>
        <v>2039932.79</v>
      </c>
    </row>
    <row r="285" spans="1:48" x14ac:dyDescent="0.2">
      <c r="A285" s="19">
        <v>284</v>
      </c>
      <c r="B285" t="s">
        <v>1585</v>
      </c>
      <c r="C285" t="s">
        <v>1290</v>
      </c>
      <c r="D285" t="s">
        <v>1049</v>
      </c>
      <c r="E285" t="s">
        <v>2194</v>
      </c>
      <c r="F285" t="s">
        <v>2389</v>
      </c>
      <c r="G285" t="s">
        <v>1250</v>
      </c>
      <c r="H285" t="s">
        <v>3825</v>
      </c>
      <c r="I285" t="s">
        <v>3839</v>
      </c>
      <c r="J285" t="s">
        <v>3270</v>
      </c>
      <c r="K285" t="s">
        <v>3504</v>
      </c>
      <c r="L285" t="s">
        <v>2755</v>
      </c>
      <c r="M285" s="1086">
        <v>144838.82999999999</v>
      </c>
      <c r="N285" s="1086">
        <v>0</v>
      </c>
      <c r="O285" s="1086">
        <v>60949.07</v>
      </c>
      <c r="P285" s="1086">
        <v>500</v>
      </c>
      <c r="Q285" s="1086">
        <v>0</v>
      </c>
      <c r="R285" s="1086">
        <v>0</v>
      </c>
      <c r="S285" s="1086">
        <v>0</v>
      </c>
      <c r="T285" s="1086">
        <v>14.75</v>
      </c>
      <c r="U285" s="1086">
        <v>72579.83</v>
      </c>
      <c r="V285" s="1086">
        <v>0</v>
      </c>
      <c r="W285" s="1086">
        <v>8294.52</v>
      </c>
      <c r="X285" s="1086">
        <v>25723.64</v>
      </c>
      <c r="Y285" s="1086">
        <v>-2886</v>
      </c>
      <c r="Z285" s="1086">
        <v>0</v>
      </c>
      <c r="AA285" s="1086">
        <v>1900</v>
      </c>
      <c r="AB285" s="1086">
        <v>0</v>
      </c>
      <c r="AC285" s="1086">
        <v>99661.16</v>
      </c>
      <c r="AD285" s="1086" t="s">
        <v>248</v>
      </c>
      <c r="AE285" s="1086" t="s">
        <v>3877</v>
      </c>
      <c r="AF285" s="1086">
        <f t="shared" si="17"/>
        <v>99661.159999999989</v>
      </c>
      <c r="AG285" s="1086">
        <f t="shared" si="16"/>
        <v>0</v>
      </c>
      <c r="AQ285" s="1086">
        <v>0</v>
      </c>
      <c r="AR285" s="1086">
        <v>0</v>
      </c>
      <c r="AS285" s="1086">
        <v>99661.16</v>
      </c>
      <c r="AT285" s="1086">
        <f t="shared" si="18"/>
        <v>0</v>
      </c>
      <c r="AV285" s="1150">
        <f t="shared" si="19"/>
        <v>106126.74</v>
      </c>
    </row>
    <row r="286" spans="1:48" x14ac:dyDescent="0.2">
      <c r="A286" s="19">
        <v>285</v>
      </c>
      <c r="B286" t="s">
        <v>1586</v>
      </c>
      <c r="C286" t="s">
        <v>1290</v>
      </c>
      <c r="D286" t="s">
        <v>1005</v>
      </c>
      <c r="E286" t="s">
        <v>2195</v>
      </c>
      <c r="F286" t="s">
        <v>2390</v>
      </c>
      <c r="G286" t="s">
        <v>1250</v>
      </c>
      <c r="H286" t="s">
        <v>3825</v>
      </c>
      <c r="I286" t="s">
        <v>3839</v>
      </c>
      <c r="J286" t="s">
        <v>3355</v>
      </c>
      <c r="K286" t="s">
        <v>3505</v>
      </c>
      <c r="L286" t="s">
        <v>2756</v>
      </c>
      <c r="M286" s="1086">
        <v>19553.419999999998</v>
      </c>
      <c r="N286" s="1086">
        <v>0</v>
      </c>
      <c r="O286" s="1086">
        <v>0</v>
      </c>
      <c r="P286" s="1086">
        <v>0</v>
      </c>
      <c r="Q286" s="1086">
        <v>0</v>
      </c>
      <c r="R286" s="1086">
        <v>0</v>
      </c>
      <c r="S286" s="1086">
        <v>0</v>
      </c>
      <c r="T286" s="1086">
        <v>0</v>
      </c>
      <c r="U286" s="1086">
        <v>0</v>
      </c>
      <c r="V286" s="1086">
        <v>0</v>
      </c>
      <c r="W286" s="1086">
        <v>0</v>
      </c>
      <c r="X286" s="1086">
        <v>0</v>
      </c>
      <c r="Y286" s="1086">
        <v>0</v>
      </c>
      <c r="Z286" s="1086">
        <v>0</v>
      </c>
      <c r="AA286" s="1086">
        <v>0</v>
      </c>
      <c r="AB286" s="1086">
        <v>0</v>
      </c>
      <c r="AC286" s="1086">
        <v>19553.419999999998</v>
      </c>
      <c r="AD286" s="1086" t="s">
        <v>248</v>
      </c>
      <c r="AE286" s="1086" t="s">
        <v>3877</v>
      </c>
      <c r="AF286" s="1086">
        <f t="shared" si="17"/>
        <v>19553.419999999998</v>
      </c>
      <c r="AG286" s="1086">
        <f t="shared" si="16"/>
        <v>0</v>
      </c>
      <c r="AQ286" s="1086">
        <v>0</v>
      </c>
      <c r="AR286" s="1086">
        <v>0</v>
      </c>
      <c r="AS286" s="1086">
        <v>19553.419999999998</v>
      </c>
      <c r="AT286" s="1086">
        <f t="shared" si="18"/>
        <v>0</v>
      </c>
      <c r="AV286" s="1150">
        <f t="shared" si="19"/>
        <v>0</v>
      </c>
    </row>
    <row r="287" spans="1:48" x14ac:dyDescent="0.2">
      <c r="A287" s="19">
        <v>286</v>
      </c>
      <c r="B287" t="s">
        <v>1587</v>
      </c>
      <c r="C287" t="s">
        <v>1290</v>
      </c>
      <c r="D287" t="s">
        <v>1005</v>
      </c>
      <c r="E287" t="s">
        <v>2195</v>
      </c>
      <c r="F287" t="s">
        <v>2390</v>
      </c>
      <c r="G287" t="s">
        <v>1250</v>
      </c>
      <c r="H287" t="s">
        <v>3825</v>
      </c>
      <c r="I287">
        <v>0</v>
      </c>
      <c r="L287" t="s">
        <v>2757</v>
      </c>
      <c r="M287" s="1086">
        <v>111676.05</v>
      </c>
      <c r="N287" s="1086">
        <v>0</v>
      </c>
      <c r="O287" s="1086">
        <v>2569.1</v>
      </c>
      <c r="P287" s="1086">
        <v>0</v>
      </c>
      <c r="Q287" s="1086">
        <v>0</v>
      </c>
      <c r="R287" s="1086">
        <v>0</v>
      </c>
      <c r="S287" s="1086">
        <v>6391.5</v>
      </c>
      <c r="T287" s="1086">
        <v>119.78</v>
      </c>
      <c r="U287" s="1086">
        <v>24572.959999999999</v>
      </c>
      <c r="V287" s="1086">
        <v>0</v>
      </c>
      <c r="W287" s="1086">
        <v>0</v>
      </c>
      <c r="X287" s="1086">
        <v>2676.87</v>
      </c>
      <c r="Y287" s="1086">
        <v>0</v>
      </c>
      <c r="Z287" s="1086">
        <v>0</v>
      </c>
      <c r="AA287" s="1086">
        <v>0</v>
      </c>
      <c r="AB287" s="1086">
        <v>0</v>
      </c>
      <c r="AC287" s="1086">
        <v>80484.039999999994</v>
      </c>
      <c r="AD287" s="1086" t="s">
        <v>248</v>
      </c>
      <c r="AE287" s="1086" t="s">
        <v>3877</v>
      </c>
      <c r="AF287" s="1086">
        <f t="shared" si="17"/>
        <v>80484.040000000008</v>
      </c>
      <c r="AG287" s="1086">
        <f t="shared" si="16"/>
        <v>0</v>
      </c>
      <c r="AQ287" s="1086">
        <v>0</v>
      </c>
      <c r="AR287" s="1086">
        <v>0</v>
      </c>
      <c r="AS287" s="1086">
        <v>80484.039999999994</v>
      </c>
      <c r="AT287" s="1086">
        <f t="shared" si="18"/>
        <v>0</v>
      </c>
      <c r="AV287" s="1150">
        <f t="shared" si="19"/>
        <v>33761.11</v>
      </c>
    </row>
    <row r="288" spans="1:48" x14ac:dyDescent="0.2">
      <c r="A288" s="19">
        <v>287</v>
      </c>
      <c r="B288" t="s">
        <v>1588</v>
      </c>
      <c r="C288" t="s">
        <v>1290</v>
      </c>
      <c r="D288" t="s">
        <v>1005</v>
      </c>
      <c r="E288" t="s">
        <v>2195</v>
      </c>
      <c r="F288" t="s">
        <v>2390</v>
      </c>
      <c r="G288" t="s">
        <v>1250</v>
      </c>
      <c r="H288" t="s">
        <v>3825</v>
      </c>
      <c r="I288" t="s">
        <v>3839</v>
      </c>
      <c r="J288" t="s">
        <v>3355</v>
      </c>
      <c r="K288" t="s">
        <v>3506</v>
      </c>
      <c r="L288" t="s">
        <v>2758</v>
      </c>
      <c r="M288" s="1086">
        <v>350008.86</v>
      </c>
      <c r="N288" s="1086">
        <v>0</v>
      </c>
      <c r="O288" s="1086">
        <v>50935</v>
      </c>
      <c r="P288" s="1086">
        <v>2550</v>
      </c>
      <c r="Q288" s="1086">
        <v>600</v>
      </c>
      <c r="R288" s="1086">
        <v>0</v>
      </c>
      <c r="S288" s="1086">
        <v>0</v>
      </c>
      <c r="T288" s="1086">
        <v>548.78</v>
      </c>
      <c r="U288" s="1086">
        <v>21047.38</v>
      </c>
      <c r="V288" s="1086">
        <v>0</v>
      </c>
      <c r="W288" s="1086">
        <v>5886.08</v>
      </c>
      <c r="X288" s="1086">
        <v>33268.199999999997</v>
      </c>
      <c r="Y288" s="1086">
        <v>0</v>
      </c>
      <c r="Z288" s="1086">
        <v>0</v>
      </c>
      <c r="AA288" s="1086">
        <v>0</v>
      </c>
      <c r="AB288" s="1086">
        <v>0</v>
      </c>
      <c r="AC288" s="1086">
        <v>337043.42</v>
      </c>
      <c r="AD288" s="1086" t="s">
        <v>248</v>
      </c>
      <c r="AE288" s="1086" t="s">
        <v>3877</v>
      </c>
      <c r="AF288" s="1086">
        <f t="shared" si="17"/>
        <v>337043.42</v>
      </c>
      <c r="AG288" s="1086">
        <f t="shared" si="16"/>
        <v>0</v>
      </c>
      <c r="AQ288" s="1086">
        <v>0</v>
      </c>
      <c r="AR288" s="1086">
        <v>0</v>
      </c>
      <c r="AS288" s="1086">
        <v>337043.42</v>
      </c>
      <c r="AT288" s="1086">
        <f t="shared" si="18"/>
        <v>0</v>
      </c>
      <c r="AV288" s="1150">
        <f t="shared" si="19"/>
        <v>63900.439999999995</v>
      </c>
    </row>
    <row r="289" spans="1:48" x14ac:dyDescent="0.2">
      <c r="A289" s="19">
        <v>288</v>
      </c>
      <c r="B289" t="s">
        <v>1589</v>
      </c>
      <c r="C289" t="s">
        <v>1290</v>
      </c>
      <c r="D289" t="s">
        <v>1005</v>
      </c>
      <c r="E289" t="s">
        <v>2195</v>
      </c>
      <c r="F289" t="s">
        <v>2390</v>
      </c>
      <c r="G289" t="s">
        <v>1250</v>
      </c>
      <c r="H289" t="s">
        <v>3823</v>
      </c>
      <c r="I289" t="s">
        <v>3839</v>
      </c>
      <c r="J289" t="s">
        <v>3355</v>
      </c>
      <c r="K289" t="s">
        <v>3507</v>
      </c>
      <c r="L289" t="s">
        <v>2759</v>
      </c>
      <c r="M289" s="1086">
        <v>79724.06</v>
      </c>
      <c r="N289" s="1086">
        <v>0</v>
      </c>
      <c r="O289" s="1086">
        <v>500</v>
      </c>
      <c r="P289" s="1086">
        <v>0</v>
      </c>
      <c r="Q289" s="1086">
        <v>0</v>
      </c>
      <c r="R289" s="1086">
        <v>0</v>
      </c>
      <c r="S289" s="1086">
        <v>0</v>
      </c>
      <c r="T289" s="1086">
        <v>0</v>
      </c>
      <c r="U289" s="1086">
        <v>55</v>
      </c>
      <c r="V289" s="1086">
        <v>0</v>
      </c>
      <c r="W289" s="1086">
        <v>0</v>
      </c>
      <c r="X289" s="1086">
        <v>450.74</v>
      </c>
      <c r="Y289" s="1086">
        <v>0</v>
      </c>
      <c r="Z289" s="1086">
        <v>0</v>
      </c>
      <c r="AA289" s="1086">
        <v>0</v>
      </c>
      <c r="AB289" s="1086">
        <v>0</v>
      </c>
      <c r="AC289" s="1086">
        <v>79718.320000000007</v>
      </c>
      <c r="AD289" s="1086" t="s">
        <v>248</v>
      </c>
      <c r="AE289" s="1086" t="s">
        <v>3877</v>
      </c>
      <c r="AF289" s="1086">
        <f t="shared" si="17"/>
        <v>79718.319999999992</v>
      </c>
      <c r="AG289" s="1086">
        <f t="shared" si="16"/>
        <v>0</v>
      </c>
      <c r="AQ289" s="1086">
        <v>0</v>
      </c>
      <c r="AR289" s="1086">
        <v>0</v>
      </c>
      <c r="AS289" s="1086">
        <v>79718.320000000007</v>
      </c>
      <c r="AT289" s="1086">
        <f t="shared" si="18"/>
        <v>0</v>
      </c>
      <c r="AV289" s="1150">
        <f t="shared" si="19"/>
        <v>505.74</v>
      </c>
    </row>
    <row r="290" spans="1:48" x14ac:dyDescent="0.2">
      <c r="A290" s="19">
        <v>289</v>
      </c>
      <c r="B290" t="s">
        <v>1590</v>
      </c>
      <c r="C290" t="s">
        <v>1290</v>
      </c>
      <c r="D290" t="s">
        <v>1062</v>
      </c>
      <c r="E290" t="s">
        <v>2196</v>
      </c>
      <c r="F290" t="s">
        <v>2391</v>
      </c>
      <c r="G290" t="s">
        <v>3834</v>
      </c>
      <c r="H290" t="s">
        <v>3827</v>
      </c>
      <c r="I290">
        <v>2221</v>
      </c>
      <c r="J290" t="s">
        <v>3508</v>
      </c>
      <c r="K290">
        <v>1977</v>
      </c>
      <c r="L290" t="s">
        <v>2760</v>
      </c>
      <c r="M290" s="1086">
        <v>4297.72</v>
      </c>
      <c r="N290" s="1086">
        <v>0</v>
      </c>
      <c r="O290" s="1086">
        <v>287237</v>
      </c>
      <c r="P290" s="1086">
        <v>113667.39</v>
      </c>
      <c r="Q290" s="1086">
        <v>0</v>
      </c>
      <c r="R290" s="1086">
        <v>0</v>
      </c>
      <c r="S290" s="1086">
        <v>0</v>
      </c>
      <c r="T290" s="1086">
        <v>26077.72</v>
      </c>
      <c r="U290" s="1086">
        <v>20396.41</v>
      </c>
      <c r="V290" s="1086">
        <v>0</v>
      </c>
      <c r="W290" s="1086">
        <v>0</v>
      </c>
      <c r="X290" s="1086">
        <v>0</v>
      </c>
      <c r="Y290" s="1086">
        <v>0</v>
      </c>
      <c r="Z290" s="1086">
        <v>0</v>
      </c>
      <c r="AA290" s="1086">
        <v>6057</v>
      </c>
      <c r="AB290" s="1086">
        <v>0</v>
      </c>
      <c r="AC290" s="1086">
        <v>125336.2</v>
      </c>
      <c r="AD290" s="1086" t="s">
        <v>248</v>
      </c>
      <c r="AE290" s="1086" t="s">
        <v>3877</v>
      </c>
      <c r="AF290" s="1086">
        <f t="shared" si="17"/>
        <v>125336.19999999998</v>
      </c>
      <c r="AG290" s="1086">
        <f t="shared" si="16"/>
        <v>0</v>
      </c>
      <c r="AQ290" s="1086">
        <v>0</v>
      </c>
      <c r="AR290" s="1086">
        <v>0</v>
      </c>
      <c r="AS290" s="1086">
        <v>125336.2</v>
      </c>
      <c r="AT290" s="1086">
        <f t="shared" si="18"/>
        <v>0</v>
      </c>
      <c r="AV290" s="1150">
        <f t="shared" si="19"/>
        <v>166198.51999999999</v>
      </c>
    </row>
    <row r="291" spans="1:48" x14ac:dyDescent="0.2">
      <c r="A291" s="19">
        <v>290</v>
      </c>
      <c r="B291" t="s">
        <v>1591</v>
      </c>
      <c r="C291" t="s">
        <v>1290</v>
      </c>
      <c r="D291" t="s">
        <v>1062</v>
      </c>
      <c r="E291" t="s">
        <v>2196</v>
      </c>
      <c r="F291" t="s">
        <v>2391</v>
      </c>
      <c r="G291" t="s">
        <v>3834</v>
      </c>
      <c r="H291" t="s">
        <v>3827</v>
      </c>
      <c r="I291">
        <v>2221</v>
      </c>
      <c r="J291" t="s">
        <v>3508</v>
      </c>
      <c r="K291">
        <v>1980</v>
      </c>
      <c r="L291" t="s">
        <v>2761</v>
      </c>
      <c r="M291" s="1086">
        <v>23479.360000000001</v>
      </c>
      <c r="N291" s="1086">
        <v>0</v>
      </c>
      <c r="O291" s="1086">
        <v>60000</v>
      </c>
      <c r="P291" s="1086">
        <v>0</v>
      </c>
      <c r="Q291" s="1086">
        <v>0</v>
      </c>
      <c r="R291" s="1086">
        <v>0</v>
      </c>
      <c r="S291" s="1086">
        <v>0</v>
      </c>
      <c r="T291" s="1086">
        <v>0</v>
      </c>
      <c r="U291" s="1086">
        <v>21035.42</v>
      </c>
      <c r="V291" s="1086">
        <v>0</v>
      </c>
      <c r="W291" s="1086">
        <v>0</v>
      </c>
      <c r="X291" s="1086">
        <v>62443.86</v>
      </c>
      <c r="Y291" s="1086">
        <v>0</v>
      </c>
      <c r="Z291" s="1086">
        <v>0</v>
      </c>
      <c r="AA291" s="1086">
        <v>0</v>
      </c>
      <c r="AB291" s="1086">
        <v>0</v>
      </c>
      <c r="AC291" s="1086">
        <v>0.08</v>
      </c>
      <c r="AD291" s="1086" t="s">
        <v>248</v>
      </c>
      <c r="AE291" s="1086" t="s">
        <v>3877</v>
      </c>
      <c r="AF291" s="1086">
        <f t="shared" si="17"/>
        <v>8.000000000174623E-2</v>
      </c>
      <c r="AG291" s="1086">
        <f t="shared" si="16"/>
        <v>-1.7462281620694853E-12</v>
      </c>
      <c r="AQ291" s="1086">
        <v>0</v>
      </c>
      <c r="AR291" s="1086">
        <v>0</v>
      </c>
      <c r="AS291" s="1086">
        <v>7.999999999992724E-2</v>
      </c>
      <c r="AT291" s="1086">
        <f t="shared" si="18"/>
        <v>7.2761241476371197E-14</v>
      </c>
      <c r="AV291" s="1150">
        <f t="shared" si="19"/>
        <v>83479.28</v>
      </c>
    </row>
    <row r="292" spans="1:48" x14ac:dyDescent="0.2">
      <c r="A292" s="19">
        <v>291</v>
      </c>
      <c r="B292" t="s">
        <v>1592</v>
      </c>
      <c r="C292" t="s">
        <v>1290</v>
      </c>
      <c r="D292" t="s">
        <v>1031</v>
      </c>
      <c r="E292" t="s">
        <v>2197</v>
      </c>
      <c r="F292" t="s">
        <v>2392</v>
      </c>
      <c r="G292" t="s">
        <v>3831</v>
      </c>
      <c r="H292" t="s">
        <v>3822</v>
      </c>
      <c r="I292" t="s">
        <v>3839</v>
      </c>
      <c r="J292" t="s">
        <v>3341</v>
      </c>
      <c r="K292" t="s">
        <v>3509</v>
      </c>
      <c r="L292" t="s">
        <v>2762</v>
      </c>
      <c r="M292" s="1086">
        <v>638025.68000000005</v>
      </c>
      <c r="N292" s="1086">
        <v>1859107.38</v>
      </c>
      <c r="O292" s="1086">
        <v>0</v>
      </c>
      <c r="P292" s="1086">
        <v>630209.81000000006</v>
      </c>
      <c r="Q292" s="1086">
        <v>0</v>
      </c>
      <c r="R292" s="1086">
        <v>221879.67999999999</v>
      </c>
      <c r="S292" s="1086">
        <v>15800</v>
      </c>
      <c r="T292" s="1086">
        <v>211889.88</v>
      </c>
      <c r="U292" s="1086">
        <v>461224.32</v>
      </c>
      <c r="V292" s="1086">
        <v>0</v>
      </c>
      <c r="W292" s="1086">
        <v>2059.25</v>
      </c>
      <c r="X292" s="1086">
        <v>748.06</v>
      </c>
      <c r="Y292" s="1086">
        <v>0</v>
      </c>
      <c r="Z292" s="1086">
        <v>0</v>
      </c>
      <c r="AA292" s="1086">
        <v>85723.74</v>
      </c>
      <c r="AB292" s="1086">
        <v>77024</v>
      </c>
      <c r="AC292" s="1086">
        <v>790574.32</v>
      </c>
      <c r="AD292" s="1103" t="s">
        <v>1252</v>
      </c>
      <c r="AE292" s="1086" t="s">
        <v>3879</v>
      </c>
      <c r="AF292" s="1086">
        <f t="shared" si="17"/>
        <v>790574.31999999983</v>
      </c>
      <c r="AG292" s="1086">
        <f t="shared" si="16"/>
        <v>0</v>
      </c>
      <c r="AQ292" s="1086">
        <v>0</v>
      </c>
      <c r="AR292" s="1086">
        <v>0</v>
      </c>
      <c r="AS292" s="1086">
        <v>790574.32</v>
      </c>
      <c r="AT292" s="1086">
        <f t="shared" si="18"/>
        <v>0</v>
      </c>
      <c r="AV292" s="1150">
        <f t="shared" si="19"/>
        <v>1706558.7400000002</v>
      </c>
    </row>
    <row r="293" spans="1:48" x14ac:dyDescent="0.2">
      <c r="A293" s="19">
        <v>292</v>
      </c>
      <c r="B293" t="s">
        <v>1593</v>
      </c>
      <c r="C293" t="s">
        <v>1290</v>
      </c>
      <c r="D293" t="s">
        <v>1031</v>
      </c>
      <c r="E293" t="s">
        <v>2197</v>
      </c>
      <c r="F293" t="s">
        <v>2392</v>
      </c>
      <c r="G293" t="s">
        <v>3831</v>
      </c>
      <c r="H293" t="s">
        <v>3822</v>
      </c>
      <c r="I293" t="s">
        <v>3839</v>
      </c>
      <c r="J293" t="s">
        <v>3341</v>
      </c>
      <c r="K293" t="s">
        <v>3510</v>
      </c>
      <c r="L293" t="s">
        <v>2763</v>
      </c>
      <c r="M293" s="1086">
        <v>2623112.15</v>
      </c>
      <c r="N293" s="1086">
        <v>2810997.69</v>
      </c>
      <c r="O293" s="1086">
        <v>3350.5</v>
      </c>
      <c r="P293" s="1086">
        <v>614405.13</v>
      </c>
      <c r="Q293" s="1086">
        <v>0</v>
      </c>
      <c r="R293" s="1086">
        <v>133327.17000000001</v>
      </c>
      <c r="S293" s="1086">
        <v>85317.64</v>
      </c>
      <c r="T293" s="1086">
        <v>165962.42000000001</v>
      </c>
      <c r="U293" s="1086">
        <v>1210953.3799999999</v>
      </c>
      <c r="V293" s="1086">
        <v>0</v>
      </c>
      <c r="W293" s="1086">
        <v>17306.38</v>
      </c>
      <c r="X293" s="1086">
        <v>2432.87</v>
      </c>
      <c r="Y293" s="1086">
        <v>-98649</v>
      </c>
      <c r="Z293" s="1086">
        <v>0</v>
      </c>
      <c r="AA293" s="1086">
        <v>570576.99</v>
      </c>
      <c r="AB293" s="1086">
        <v>474083</v>
      </c>
      <c r="AC293" s="1086">
        <v>2261744.36</v>
      </c>
      <c r="AD293" s="1103" t="s">
        <v>1252</v>
      </c>
      <c r="AE293" s="1086" t="s">
        <v>3879</v>
      </c>
      <c r="AF293" s="1086">
        <f t="shared" si="17"/>
        <v>2261744.3599999994</v>
      </c>
      <c r="AG293" s="1086">
        <f t="shared" si="16"/>
        <v>0</v>
      </c>
      <c r="AQ293" s="1086">
        <v>0</v>
      </c>
      <c r="AR293" s="1086">
        <v>0</v>
      </c>
      <c r="AS293" s="1086">
        <v>2261744.36</v>
      </c>
      <c r="AT293" s="1086">
        <f t="shared" si="18"/>
        <v>0</v>
      </c>
      <c r="AV293" s="1150">
        <f t="shared" si="19"/>
        <v>3175715.9800000004</v>
      </c>
    </row>
    <row r="294" spans="1:48" x14ac:dyDescent="0.2">
      <c r="A294" s="19">
        <v>293</v>
      </c>
      <c r="B294" t="s">
        <v>1594</v>
      </c>
      <c r="C294" t="s">
        <v>1290</v>
      </c>
      <c r="D294" t="s">
        <v>1031</v>
      </c>
      <c r="E294" t="s">
        <v>2197</v>
      </c>
      <c r="F294" t="s">
        <v>2392</v>
      </c>
      <c r="G294" t="s">
        <v>3831</v>
      </c>
      <c r="H294" t="s">
        <v>3822</v>
      </c>
      <c r="I294" t="s">
        <v>3839</v>
      </c>
      <c r="J294" t="s">
        <v>3341</v>
      </c>
      <c r="K294" t="s">
        <v>3511</v>
      </c>
      <c r="L294" t="s">
        <v>2764</v>
      </c>
      <c r="M294" s="1086">
        <v>2863205.08</v>
      </c>
      <c r="N294" s="1086">
        <v>3431174.68</v>
      </c>
      <c r="O294" s="1086">
        <v>744.28</v>
      </c>
      <c r="P294" s="1086">
        <v>1812088.06</v>
      </c>
      <c r="Q294" s="1086">
        <v>0</v>
      </c>
      <c r="R294" s="1086">
        <v>19778.48</v>
      </c>
      <c r="S294" s="1086">
        <v>115228.5</v>
      </c>
      <c r="T294" s="1086">
        <v>309494</v>
      </c>
      <c r="U294" s="1086">
        <v>915100.75</v>
      </c>
      <c r="V294" s="1086">
        <v>0</v>
      </c>
      <c r="W294" s="1086">
        <v>239.92</v>
      </c>
      <c r="X294" s="1086">
        <v>115535.37</v>
      </c>
      <c r="Y294" s="1086">
        <v>0</v>
      </c>
      <c r="Z294" s="1086">
        <v>0</v>
      </c>
      <c r="AA294" s="1086">
        <v>322365.15999999997</v>
      </c>
      <c r="AB294" s="1086">
        <v>288840</v>
      </c>
      <c r="AC294" s="1086">
        <v>2396453.7999999998</v>
      </c>
      <c r="AD294" s="1103" t="s">
        <v>1252</v>
      </c>
      <c r="AE294" s="1086" t="s">
        <v>3879</v>
      </c>
      <c r="AF294" s="1086">
        <f t="shared" si="17"/>
        <v>2396453.7999999998</v>
      </c>
      <c r="AG294" s="1086">
        <f t="shared" si="16"/>
        <v>0</v>
      </c>
      <c r="AQ294" s="1086">
        <v>0</v>
      </c>
      <c r="AR294" s="1086">
        <v>0</v>
      </c>
      <c r="AS294" s="1086">
        <v>2396453.7999999998</v>
      </c>
      <c r="AT294" s="1086">
        <f t="shared" si="18"/>
        <v>0</v>
      </c>
      <c r="AV294" s="1150">
        <f t="shared" si="19"/>
        <v>3898670.24</v>
      </c>
    </row>
    <row r="295" spans="1:48" x14ac:dyDescent="0.2">
      <c r="A295" s="19">
        <v>294</v>
      </c>
      <c r="B295" t="s">
        <v>1595</v>
      </c>
      <c r="C295" t="s">
        <v>1290</v>
      </c>
      <c r="D295" t="s">
        <v>1031</v>
      </c>
      <c r="E295" t="s">
        <v>2197</v>
      </c>
      <c r="F295" t="s">
        <v>2392</v>
      </c>
      <c r="G295" t="s">
        <v>3831</v>
      </c>
      <c r="H295" t="s">
        <v>3822</v>
      </c>
      <c r="I295" t="s">
        <v>3839</v>
      </c>
      <c r="J295" t="s">
        <v>3341</v>
      </c>
      <c r="K295" t="s">
        <v>3512</v>
      </c>
      <c r="L295" t="s">
        <v>2765</v>
      </c>
      <c r="M295" s="1086">
        <v>86325.38</v>
      </c>
      <c r="N295" s="1086">
        <v>565623.33000000007</v>
      </c>
      <c r="O295" s="1086">
        <v>319800</v>
      </c>
      <c r="P295" s="1086">
        <v>371638.41</v>
      </c>
      <c r="Q295" s="1086">
        <v>0</v>
      </c>
      <c r="R295" s="1086">
        <v>49449.54</v>
      </c>
      <c r="S295" s="1086">
        <v>0</v>
      </c>
      <c r="T295" s="1086">
        <v>129058.45</v>
      </c>
      <c r="U295" s="1086">
        <v>395612.03</v>
      </c>
      <c r="V295" s="1086">
        <v>0</v>
      </c>
      <c r="W295" s="1086">
        <v>30.16</v>
      </c>
      <c r="X295" s="1086">
        <v>0</v>
      </c>
      <c r="Y295" s="1086">
        <v>0</v>
      </c>
      <c r="Z295" s="1086">
        <v>0</v>
      </c>
      <c r="AA295" s="1086">
        <v>19960.439999999999</v>
      </c>
      <c r="AB295" s="1086">
        <v>0</v>
      </c>
      <c r="AC295" s="1086">
        <v>5999.68</v>
      </c>
      <c r="AD295" s="1103" t="s">
        <v>1252</v>
      </c>
      <c r="AE295" s="1086" t="s">
        <v>3879</v>
      </c>
      <c r="AF295" s="1086">
        <f t="shared" si="17"/>
        <v>5999.6800000001676</v>
      </c>
      <c r="AG295" s="1086">
        <f t="shared" si="16"/>
        <v>-1.673470251262188E-10</v>
      </c>
      <c r="AQ295" s="1086">
        <v>0</v>
      </c>
      <c r="AR295" s="1086">
        <v>0</v>
      </c>
      <c r="AS295" s="1086">
        <v>5999.68</v>
      </c>
      <c r="AT295" s="1086">
        <f t="shared" si="18"/>
        <v>0</v>
      </c>
      <c r="AV295" s="1150">
        <f t="shared" si="19"/>
        <v>965749.02999999991</v>
      </c>
    </row>
    <row r="296" spans="1:48" x14ac:dyDescent="0.2">
      <c r="A296" s="19">
        <v>295</v>
      </c>
      <c r="B296" t="s">
        <v>1596</v>
      </c>
      <c r="C296" t="s">
        <v>1290</v>
      </c>
      <c r="D296" t="s">
        <v>1031</v>
      </c>
      <c r="E296" t="s">
        <v>2197</v>
      </c>
      <c r="F296" t="s">
        <v>2392</v>
      </c>
      <c r="G296" t="s">
        <v>3831</v>
      </c>
      <c r="H296" t="s">
        <v>3822</v>
      </c>
      <c r="I296" t="s">
        <v>3839</v>
      </c>
      <c r="J296" t="s">
        <v>3341</v>
      </c>
      <c r="K296" t="s">
        <v>3513</v>
      </c>
      <c r="L296" t="s">
        <v>2766</v>
      </c>
      <c r="M296" s="1086">
        <v>89065.61</v>
      </c>
      <c r="N296" s="1086">
        <v>163518.54</v>
      </c>
      <c r="O296" s="1086">
        <v>0</v>
      </c>
      <c r="P296" s="1086">
        <v>84358.23</v>
      </c>
      <c r="Q296" s="1086">
        <v>0</v>
      </c>
      <c r="R296" s="1086">
        <v>52001.53</v>
      </c>
      <c r="S296" s="1086">
        <v>0</v>
      </c>
      <c r="T296" s="1086">
        <v>34859.9</v>
      </c>
      <c r="U296" s="1086">
        <v>40761.22</v>
      </c>
      <c r="V296" s="1086">
        <v>0</v>
      </c>
      <c r="W296" s="1086">
        <v>126.88</v>
      </c>
      <c r="X296" s="1086">
        <v>0</v>
      </c>
      <c r="Y296" s="1086">
        <v>0</v>
      </c>
      <c r="Z296" s="1086">
        <v>0</v>
      </c>
      <c r="AA296" s="1086">
        <v>5353.48</v>
      </c>
      <c r="AB296" s="1086">
        <v>0</v>
      </c>
      <c r="AC296" s="1086">
        <v>35122.910000000003</v>
      </c>
      <c r="AD296" s="1103" t="s">
        <v>1252</v>
      </c>
      <c r="AE296" s="1086" t="s">
        <v>3879</v>
      </c>
      <c r="AF296" s="1086">
        <f t="shared" si="17"/>
        <v>35122.910000000003</v>
      </c>
      <c r="AG296" s="1086">
        <f t="shared" si="16"/>
        <v>0</v>
      </c>
      <c r="AQ296" s="1086">
        <v>0</v>
      </c>
      <c r="AR296" s="1086">
        <v>0</v>
      </c>
      <c r="AS296" s="1086">
        <v>35122.909999999996</v>
      </c>
      <c r="AT296" s="1086">
        <f t="shared" si="18"/>
        <v>0</v>
      </c>
      <c r="AV296" s="1150">
        <f t="shared" si="19"/>
        <v>217461.24000000002</v>
      </c>
    </row>
    <row r="297" spans="1:48" x14ac:dyDescent="0.2">
      <c r="A297" s="19">
        <v>296</v>
      </c>
      <c r="B297" t="s">
        <v>1597</v>
      </c>
      <c r="C297" t="s">
        <v>1290</v>
      </c>
      <c r="D297" t="s">
        <v>1031</v>
      </c>
      <c r="E297" t="s">
        <v>2197</v>
      </c>
      <c r="F297" t="s">
        <v>2392</v>
      </c>
      <c r="G297" t="s">
        <v>3831</v>
      </c>
      <c r="H297" t="s">
        <v>3822</v>
      </c>
      <c r="I297" t="s">
        <v>3839</v>
      </c>
      <c r="J297" t="s">
        <v>3341</v>
      </c>
      <c r="K297" t="s">
        <v>3514</v>
      </c>
      <c r="L297" t="s">
        <v>2767</v>
      </c>
      <c r="M297" s="1086">
        <v>575598.31999999995</v>
      </c>
      <c r="N297" s="1086">
        <v>1212081.8599999999</v>
      </c>
      <c r="O297" s="1086">
        <v>0</v>
      </c>
      <c r="P297" s="1086">
        <v>373406.45</v>
      </c>
      <c r="Q297" s="1086">
        <v>0</v>
      </c>
      <c r="R297" s="1086">
        <v>307989.12</v>
      </c>
      <c r="S297" s="1086">
        <v>19631.5</v>
      </c>
      <c r="T297" s="1086">
        <v>188016.2</v>
      </c>
      <c r="U297" s="1086">
        <v>249527.67</v>
      </c>
      <c r="V297" s="1086">
        <v>0</v>
      </c>
      <c r="W297" s="1086">
        <v>9366.33</v>
      </c>
      <c r="X297" s="1086">
        <v>6346.08</v>
      </c>
      <c r="Y297" s="1086">
        <v>0</v>
      </c>
      <c r="Z297" s="1086">
        <v>0</v>
      </c>
      <c r="AA297" s="1086">
        <v>60981.52</v>
      </c>
      <c r="AB297" s="1086">
        <v>67396</v>
      </c>
      <c r="AC297" s="1086">
        <v>505019.31</v>
      </c>
      <c r="AD297" s="1103" t="s">
        <v>1252</v>
      </c>
      <c r="AE297" s="1086" t="s">
        <v>3879</v>
      </c>
      <c r="AF297" s="1086">
        <f t="shared" si="17"/>
        <v>505019.30999999959</v>
      </c>
      <c r="AG297" s="1086">
        <f t="shared" si="16"/>
        <v>0</v>
      </c>
      <c r="AQ297" s="1086">
        <v>0</v>
      </c>
      <c r="AR297" s="1086">
        <v>0</v>
      </c>
      <c r="AS297" s="1086">
        <v>505019.31</v>
      </c>
      <c r="AT297" s="1086">
        <f t="shared" si="18"/>
        <v>0</v>
      </c>
      <c r="AV297" s="1150">
        <f t="shared" si="19"/>
        <v>1282660.8700000001</v>
      </c>
    </row>
    <row r="298" spans="1:48" x14ac:dyDescent="0.2">
      <c r="A298" s="19">
        <v>297</v>
      </c>
      <c r="B298" t="s">
        <v>1598</v>
      </c>
      <c r="C298" t="s">
        <v>1290</v>
      </c>
      <c r="D298" t="s">
        <v>1031</v>
      </c>
      <c r="E298" t="s">
        <v>2197</v>
      </c>
      <c r="F298" t="s">
        <v>2392</v>
      </c>
      <c r="G298" t="s">
        <v>3831</v>
      </c>
      <c r="H298" t="s">
        <v>3822</v>
      </c>
      <c r="I298" t="s">
        <v>3839</v>
      </c>
      <c r="J298" t="s">
        <v>3341</v>
      </c>
      <c r="K298" t="s">
        <v>3515</v>
      </c>
      <c r="L298" t="s">
        <v>2768</v>
      </c>
      <c r="M298" s="1086">
        <v>41829.160000000003</v>
      </c>
      <c r="N298" s="1086">
        <v>0</v>
      </c>
      <c r="O298" s="1086">
        <v>0</v>
      </c>
      <c r="P298" s="1086">
        <v>0</v>
      </c>
      <c r="Q298" s="1086">
        <v>0</v>
      </c>
      <c r="R298" s="1086">
        <v>0</v>
      </c>
      <c r="S298" s="1086">
        <v>0</v>
      </c>
      <c r="T298" s="1086">
        <v>0</v>
      </c>
      <c r="U298" s="1086">
        <v>774.05</v>
      </c>
      <c r="V298" s="1086">
        <v>0</v>
      </c>
      <c r="W298" s="1086">
        <v>0</v>
      </c>
      <c r="X298" s="1086">
        <v>0</v>
      </c>
      <c r="Y298" s="1086">
        <v>0</v>
      </c>
      <c r="Z298" s="1086">
        <v>0</v>
      </c>
      <c r="AA298" s="1086">
        <v>14</v>
      </c>
      <c r="AB298" s="1086">
        <v>0</v>
      </c>
      <c r="AC298" s="1086">
        <v>41041.11</v>
      </c>
      <c r="AD298" s="1103" t="s">
        <v>1252</v>
      </c>
      <c r="AE298" s="1086" t="s">
        <v>3879</v>
      </c>
      <c r="AF298" s="1086">
        <f t="shared" si="17"/>
        <v>41041.11</v>
      </c>
      <c r="AG298" s="1086">
        <f t="shared" si="16"/>
        <v>0</v>
      </c>
      <c r="AQ298" s="1086">
        <v>0</v>
      </c>
      <c r="AR298" s="1086">
        <v>0</v>
      </c>
      <c r="AS298" s="1086">
        <v>41041.11</v>
      </c>
      <c r="AT298" s="1086">
        <f t="shared" si="18"/>
        <v>0</v>
      </c>
      <c r="AV298" s="1150">
        <f t="shared" si="19"/>
        <v>788.05</v>
      </c>
    </row>
    <row r="299" spans="1:48" x14ac:dyDescent="0.2">
      <c r="A299" s="19">
        <v>298</v>
      </c>
      <c r="B299" t="s">
        <v>1599</v>
      </c>
      <c r="C299" t="s">
        <v>1290</v>
      </c>
      <c r="D299" t="s">
        <v>1049</v>
      </c>
      <c r="E299" t="s">
        <v>2198</v>
      </c>
      <c r="F299" t="s">
        <v>2393</v>
      </c>
      <c r="G299" t="s">
        <v>1250</v>
      </c>
      <c r="H299" t="s">
        <v>3825</v>
      </c>
      <c r="I299" t="s">
        <v>3839</v>
      </c>
      <c r="J299" t="s">
        <v>3270</v>
      </c>
      <c r="K299" t="s">
        <v>3516</v>
      </c>
      <c r="L299" t="s">
        <v>2769</v>
      </c>
      <c r="M299" s="1086">
        <v>84335.15</v>
      </c>
      <c r="N299" s="1086">
        <v>0</v>
      </c>
      <c r="O299" s="1086">
        <v>52360</v>
      </c>
      <c r="P299" s="1086">
        <v>2700</v>
      </c>
      <c r="Q299" s="1086">
        <v>1900</v>
      </c>
      <c r="R299" s="1086">
        <v>0</v>
      </c>
      <c r="S299" s="1086">
        <v>0</v>
      </c>
      <c r="T299" s="1086">
        <v>-32.78</v>
      </c>
      <c r="U299" s="1086">
        <v>20514.439999999999</v>
      </c>
      <c r="V299" s="1086">
        <v>0</v>
      </c>
      <c r="W299" s="1086">
        <v>124.72</v>
      </c>
      <c r="X299" s="1086">
        <v>20388.75</v>
      </c>
      <c r="Y299" s="1086">
        <v>0</v>
      </c>
      <c r="Z299" s="1086">
        <v>0</v>
      </c>
      <c r="AA299" s="1086">
        <v>3700</v>
      </c>
      <c r="AB299" s="1086">
        <v>0</v>
      </c>
      <c r="AC299" s="1086">
        <v>87400.02</v>
      </c>
      <c r="AD299" s="1086" t="s">
        <v>248</v>
      </c>
      <c r="AE299" s="1086" t="s">
        <v>3877</v>
      </c>
      <c r="AF299" s="1086">
        <f t="shared" si="17"/>
        <v>87400.01999999999</v>
      </c>
      <c r="AG299" s="1086">
        <f t="shared" si="16"/>
        <v>0</v>
      </c>
      <c r="AQ299" s="1086">
        <v>0</v>
      </c>
      <c r="AR299" s="1086">
        <v>0</v>
      </c>
      <c r="AS299" s="1086">
        <v>87400.02</v>
      </c>
      <c r="AT299" s="1086">
        <f t="shared" si="18"/>
        <v>0</v>
      </c>
      <c r="AV299" s="1150">
        <f t="shared" si="19"/>
        <v>49295.130000000005</v>
      </c>
    </row>
    <row r="300" spans="1:48" x14ac:dyDescent="0.2">
      <c r="A300" s="19">
        <v>299</v>
      </c>
      <c r="B300" t="s">
        <v>1600</v>
      </c>
      <c r="C300" t="s">
        <v>1290</v>
      </c>
      <c r="D300" t="s">
        <v>1040</v>
      </c>
      <c r="E300" t="s">
        <v>2199</v>
      </c>
      <c r="F300" t="s">
        <v>2394</v>
      </c>
      <c r="G300" t="s">
        <v>1257</v>
      </c>
      <c r="H300" t="s">
        <v>3826</v>
      </c>
      <c r="I300" t="s">
        <v>3839</v>
      </c>
      <c r="J300" t="s">
        <v>3294</v>
      </c>
      <c r="K300" t="s">
        <v>3517</v>
      </c>
      <c r="L300" t="s">
        <v>2770</v>
      </c>
      <c r="M300" s="1086">
        <v>54380.46</v>
      </c>
      <c r="N300" s="1086">
        <v>993031.19</v>
      </c>
      <c r="O300" s="1086">
        <v>15000</v>
      </c>
      <c r="P300" s="1086">
        <v>223843.07</v>
      </c>
      <c r="Q300" s="1086">
        <v>0</v>
      </c>
      <c r="R300" s="1086">
        <v>0</v>
      </c>
      <c r="S300" s="1086">
        <v>97684.35</v>
      </c>
      <c r="T300" s="1086">
        <v>76618.13</v>
      </c>
      <c r="U300" s="1086">
        <v>550448.81999999995</v>
      </c>
      <c r="V300" s="1086">
        <v>0</v>
      </c>
      <c r="W300" s="1086">
        <v>7750.12</v>
      </c>
      <c r="X300" s="1086">
        <v>37290.61</v>
      </c>
      <c r="Y300" s="1086">
        <v>0</v>
      </c>
      <c r="Z300" s="1086">
        <v>0</v>
      </c>
      <c r="AA300" s="1086">
        <v>34602.120000000003</v>
      </c>
      <c r="AB300" s="1086">
        <v>0</v>
      </c>
      <c r="AC300" s="1086">
        <v>34174.43</v>
      </c>
      <c r="AD300" s="1086" t="s">
        <v>248</v>
      </c>
      <c r="AE300" s="1086" t="s">
        <v>3877</v>
      </c>
      <c r="AF300" s="1086">
        <f t="shared" si="17"/>
        <v>34174.429999999935</v>
      </c>
      <c r="AG300" s="1086">
        <f t="shared" si="16"/>
        <v>6.5483618527650833E-11</v>
      </c>
      <c r="AQ300" s="1086">
        <v>0</v>
      </c>
      <c r="AR300" s="1086">
        <v>0</v>
      </c>
      <c r="AS300" s="1086">
        <v>34174.43</v>
      </c>
      <c r="AT300" s="1086">
        <f t="shared" si="18"/>
        <v>0</v>
      </c>
      <c r="AV300" s="1150">
        <f t="shared" si="19"/>
        <v>1028237.22</v>
      </c>
    </row>
    <row r="301" spans="1:48" x14ac:dyDescent="0.2">
      <c r="A301" s="19">
        <v>300</v>
      </c>
      <c r="B301" t="s">
        <v>1601</v>
      </c>
      <c r="C301" t="s">
        <v>1290</v>
      </c>
      <c r="D301" t="s">
        <v>1059</v>
      </c>
      <c r="E301" t="s">
        <v>2200</v>
      </c>
      <c r="F301" t="s">
        <v>2395</v>
      </c>
      <c r="G301" t="s">
        <v>1250</v>
      </c>
      <c r="H301" t="s">
        <v>3825</v>
      </c>
      <c r="I301" t="s">
        <v>3839</v>
      </c>
      <c r="J301" t="s">
        <v>3257</v>
      </c>
      <c r="K301" t="s">
        <v>3518</v>
      </c>
      <c r="L301" t="s">
        <v>2771</v>
      </c>
      <c r="M301" s="1086">
        <v>30687.1</v>
      </c>
      <c r="N301" s="1086">
        <v>214.42</v>
      </c>
      <c r="O301" s="1086">
        <v>270981.36</v>
      </c>
      <c r="P301" s="1086">
        <v>12500</v>
      </c>
      <c r="Q301" s="1086">
        <v>0</v>
      </c>
      <c r="R301" s="1086">
        <v>0</v>
      </c>
      <c r="S301" s="1086">
        <v>11353</v>
      </c>
      <c r="T301" s="1086">
        <v>4397</v>
      </c>
      <c r="U301" s="1086">
        <v>14048.06</v>
      </c>
      <c r="V301" s="1086">
        <v>0</v>
      </c>
      <c r="W301" s="1086">
        <v>0</v>
      </c>
      <c r="X301" s="1086">
        <v>31219.34</v>
      </c>
      <c r="Y301" s="1086">
        <v>-750</v>
      </c>
      <c r="Z301" s="1086">
        <v>0</v>
      </c>
      <c r="AA301" s="1086">
        <v>25007.5</v>
      </c>
      <c r="AB301" s="1086">
        <v>0</v>
      </c>
      <c r="AC301" s="1086">
        <v>204107.98</v>
      </c>
      <c r="AD301" s="1086" t="s">
        <v>248</v>
      </c>
      <c r="AE301" s="1086" t="s">
        <v>3877</v>
      </c>
      <c r="AF301" s="1086">
        <f t="shared" si="17"/>
        <v>204107.98</v>
      </c>
      <c r="AG301" s="1086">
        <f t="shared" si="16"/>
        <v>0</v>
      </c>
      <c r="AQ301" s="1086">
        <v>0</v>
      </c>
      <c r="AR301" s="1086">
        <v>0</v>
      </c>
      <c r="AS301" s="1086">
        <v>204107.98</v>
      </c>
      <c r="AT301" s="1086">
        <f t="shared" si="18"/>
        <v>0</v>
      </c>
      <c r="AV301" s="1150">
        <f t="shared" si="19"/>
        <v>97774.9</v>
      </c>
    </row>
    <row r="302" spans="1:48" x14ac:dyDescent="0.2">
      <c r="A302" s="19">
        <v>301</v>
      </c>
      <c r="B302" t="s">
        <v>1602</v>
      </c>
      <c r="C302" t="s">
        <v>1290</v>
      </c>
      <c r="D302" t="s">
        <v>1059</v>
      </c>
      <c r="E302" t="s">
        <v>2200</v>
      </c>
      <c r="F302" t="s">
        <v>2395</v>
      </c>
      <c r="G302" t="s">
        <v>1250</v>
      </c>
      <c r="H302" t="s">
        <v>3824</v>
      </c>
      <c r="I302" t="s">
        <v>3839</v>
      </c>
      <c r="J302" t="s">
        <v>3257</v>
      </c>
      <c r="K302" t="s">
        <v>3519</v>
      </c>
      <c r="L302" t="s">
        <v>2772</v>
      </c>
      <c r="M302" s="1086">
        <v>11109.31</v>
      </c>
      <c r="N302" s="1086">
        <v>0</v>
      </c>
      <c r="O302" s="1086">
        <v>0</v>
      </c>
      <c r="P302" s="1086">
        <v>0</v>
      </c>
      <c r="Q302" s="1086">
        <v>0</v>
      </c>
      <c r="R302" s="1086">
        <v>0</v>
      </c>
      <c r="S302" s="1086">
        <v>0</v>
      </c>
      <c r="T302" s="1086">
        <v>0</v>
      </c>
      <c r="U302" s="1086">
        <v>0</v>
      </c>
      <c r="V302" s="1086">
        <v>0</v>
      </c>
      <c r="W302" s="1086">
        <v>0</v>
      </c>
      <c r="X302" s="1086">
        <v>0</v>
      </c>
      <c r="Y302" s="1086">
        <v>0</v>
      </c>
      <c r="Z302" s="1086">
        <v>0</v>
      </c>
      <c r="AA302" s="1086">
        <v>0</v>
      </c>
      <c r="AB302" s="1086">
        <v>0</v>
      </c>
      <c r="AC302" s="1086">
        <v>11109.31</v>
      </c>
      <c r="AD302" s="1086" t="s">
        <v>248</v>
      </c>
      <c r="AE302" s="1086" t="s">
        <v>3877</v>
      </c>
      <c r="AF302" s="1086">
        <f t="shared" si="17"/>
        <v>11109.31</v>
      </c>
      <c r="AG302" s="1086">
        <f t="shared" si="16"/>
        <v>0</v>
      </c>
      <c r="AQ302" s="1086">
        <v>0</v>
      </c>
      <c r="AR302" s="1086">
        <v>0</v>
      </c>
      <c r="AS302" s="1086">
        <v>11109.31</v>
      </c>
      <c r="AT302" s="1086">
        <f t="shared" si="18"/>
        <v>0</v>
      </c>
      <c r="AV302" s="1150">
        <f t="shared" si="19"/>
        <v>0</v>
      </c>
    </row>
    <row r="303" spans="1:48" x14ac:dyDescent="0.2">
      <c r="A303" s="19">
        <v>302</v>
      </c>
      <c r="B303" t="s">
        <v>1603</v>
      </c>
      <c r="C303" t="s">
        <v>1290</v>
      </c>
      <c r="D303" t="s">
        <v>1052</v>
      </c>
      <c r="E303" t="s">
        <v>2201</v>
      </c>
      <c r="F303" t="s">
        <v>2396</v>
      </c>
      <c r="G303" t="s">
        <v>1257</v>
      </c>
      <c r="H303" t="s">
        <v>3827</v>
      </c>
      <c r="I303" t="s">
        <v>3839</v>
      </c>
      <c r="J303" t="s">
        <v>3520</v>
      </c>
      <c r="K303" t="s">
        <v>3521</v>
      </c>
      <c r="L303" t="s">
        <v>2773</v>
      </c>
      <c r="M303" s="1086">
        <v>29328.65</v>
      </c>
      <c r="N303" s="1086">
        <v>52757.63</v>
      </c>
      <c r="O303" s="1086">
        <v>0</v>
      </c>
      <c r="P303" s="1086">
        <v>0</v>
      </c>
      <c r="Q303" s="1086">
        <v>0</v>
      </c>
      <c r="R303" s="1086">
        <v>290844.44</v>
      </c>
      <c r="S303" s="1086">
        <v>164188.17000000001</v>
      </c>
      <c r="T303" s="1086">
        <v>104176.83</v>
      </c>
      <c r="U303" s="1086">
        <v>16610.919999999998</v>
      </c>
      <c r="V303" s="1086">
        <v>0</v>
      </c>
      <c r="W303" s="1086">
        <v>0</v>
      </c>
      <c r="X303" s="1086">
        <v>1471.13</v>
      </c>
      <c r="Y303" s="1086">
        <v>-540002.35</v>
      </c>
      <c r="Z303" s="1086">
        <v>0</v>
      </c>
      <c r="AA303" s="1086">
        <v>1738.87</v>
      </c>
      <c r="AB303" s="1086">
        <v>0</v>
      </c>
      <c r="AC303" s="1086">
        <v>43058.27</v>
      </c>
      <c r="AD303" s="1086" t="s">
        <v>248</v>
      </c>
      <c r="AE303" s="1086" t="s">
        <v>3877</v>
      </c>
      <c r="AF303" s="1086">
        <f t="shared" si="17"/>
        <v>43058.269999999982</v>
      </c>
      <c r="AG303" s="1086">
        <f t="shared" si="16"/>
        <v>0</v>
      </c>
      <c r="AQ303" s="1086">
        <v>0</v>
      </c>
      <c r="AR303" s="1086">
        <v>0</v>
      </c>
      <c r="AS303" s="1086">
        <v>43058.27</v>
      </c>
      <c r="AT303" s="1086">
        <f t="shared" si="18"/>
        <v>0</v>
      </c>
      <c r="AV303" s="1150">
        <f t="shared" si="19"/>
        <v>39028.010000000017</v>
      </c>
    </row>
    <row r="304" spans="1:48" x14ac:dyDescent="0.2">
      <c r="A304" s="19">
        <v>303</v>
      </c>
      <c r="B304" t="s">
        <v>1604</v>
      </c>
      <c r="C304" t="s">
        <v>1290</v>
      </c>
      <c r="D304" t="s">
        <v>1052</v>
      </c>
      <c r="E304" t="s">
        <v>2201</v>
      </c>
      <c r="F304" t="s">
        <v>2396</v>
      </c>
      <c r="G304" t="s">
        <v>1257</v>
      </c>
      <c r="H304" t="s">
        <v>3827</v>
      </c>
      <c r="I304" t="s">
        <v>3839</v>
      </c>
      <c r="J304" t="s">
        <v>3520</v>
      </c>
      <c r="K304" t="s">
        <v>3522</v>
      </c>
      <c r="L304" t="s">
        <v>2774</v>
      </c>
      <c r="M304" s="1086">
        <v>46647.54</v>
      </c>
      <c r="N304" s="1086">
        <v>0</v>
      </c>
      <c r="O304" s="1086">
        <v>2581643</v>
      </c>
      <c r="P304" s="1086">
        <v>44420.65</v>
      </c>
      <c r="Q304" s="1086">
        <v>0</v>
      </c>
      <c r="R304" s="1086">
        <v>181981.53</v>
      </c>
      <c r="S304" s="1086">
        <v>0</v>
      </c>
      <c r="T304" s="1086">
        <v>75416.19</v>
      </c>
      <c r="U304" s="1086">
        <v>1982124.14</v>
      </c>
      <c r="V304" s="1086">
        <v>0</v>
      </c>
      <c r="W304" s="1086">
        <v>0</v>
      </c>
      <c r="X304" s="1086">
        <v>0</v>
      </c>
      <c r="Y304" s="1086">
        <v>0</v>
      </c>
      <c r="Z304" s="1086">
        <v>0</v>
      </c>
      <c r="AA304" s="1086">
        <v>0</v>
      </c>
      <c r="AB304" s="1086">
        <v>0</v>
      </c>
      <c r="AC304" s="1086">
        <v>344348.03</v>
      </c>
      <c r="AD304" s="1086" t="s">
        <v>248</v>
      </c>
      <c r="AE304" s="1086" t="s">
        <v>3877</v>
      </c>
      <c r="AF304" s="1086">
        <f t="shared" si="17"/>
        <v>344348.03000000026</v>
      </c>
      <c r="AG304" s="1086">
        <f t="shared" si="16"/>
        <v>0</v>
      </c>
      <c r="AQ304" s="1086">
        <v>0</v>
      </c>
      <c r="AR304" s="1086">
        <v>0</v>
      </c>
      <c r="AS304" s="1086">
        <v>344348.03</v>
      </c>
      <c r="AT304" s="1086">
        <f t="shared" si="18"/>
        <v>0</v>
      </c>
      <c r="AV304" s="1150">
        <f t="shared" si="19"/>
        <v>2283942.5099999998</v>
      </c>
    </row>
    <row r="305" spans="1:48" x14ac:dyDescent="0.2">
      <c r="A305" s="19">
        <v>304</v>
      </c>
      <c r="B305" t="s">
        <v>1605</v>
      </c>
      <c r="C305" t="s">
        <v>1290</v>
      </c>
      <c r="D305" t="s">
        <v>1062</v>
      </c>
      <c r="E305" t="s">
        <v>2202</v>
      </c>
      <c r="F305" t="s">
        <v>2397</v>
      </c>
      <c r="G305" t="s">
        <v>1249</v>
      </c>
      <c r="H305" t="s">
        <v>3827</v>
      </c>
      <c r="I305" t="s">
        <v>3839</v>
      </c>
      <c r="J305" t="s">
        <v>3523</v>
      </c>
      <c r="K305" t="s">
        <v>3524</v>
      </c>
      <c r="L305" t="s">
        <v>2775</v>
      </c>
      <c r="M305" s="1086">
        <v>802.68</v>
      </c>
      <c r="N305" s="1086">
        <v>0</v>
      </c>
      <c r="O305" s="1086">
        <v>26000</v>
      </c>
      <c r="P305" s="1086">
        <v>4333.32</v>
      </c>
      <c r="Q305" s="1086">
        <v>0</v>
      </c>
      <c r="R305" s="1086">
        <v>0</v>
      </c>
      <c r="S305" s="1086">
        <v>0</v>
      </c>
      <c r="T305" s="1086">
        <v>50.14</v>
      </c>
      <c r="U305" s="1086">
        <v>0</v>
      </c>
      <c r="V305" s="1086">
        <v>0</v>
      </c>
      <c r="W305" s="1086">
        <v>0</v>
      </c>
      <c r="X305" s="1086">
        <v>0</v>
      </c>
      <c r="Y305" s="1086">
        <v>0</v>
      </c>
      <c r="Z305" s="1086">
        <v>0</v>
      </c>
      <c r="AA305" s="1086">
        <v>0</v>
      </c>
      <c r="AB305" s="1086">
        <v>0</v>
      </c>
      <c r="AC305" s="1086">
        <v>22419.22</v>
      </c>
      <c r="AD305" s="1086" t="s">
        <v>248</v>
      </c>
      <c r="AE305" s="1086" t="s">
        <v>3877</v>
      </c>
      <c r="AF305" s="1086">
        <f t="shared" si="17"/>
        <v>22419.22</v>
      </c>
      <c r="AG305" s="1086">
        <f t="shared" si="16"/>
        <v>0</v>
      </c>
      <c r="AQ305" s="1086">
        <v>0</v>
      </c>
      <c r="AR305" s="1086">
        <v>0</v>
      </c>
      <c r="AS305" s="1086">
        <v>22419.22</v>
      </c>
      <c r="AT305" s="1086">
        <f t="shared" si="18"/>
        <v>0</v>
      </c>
      <c r="AV305" s="1150">
        <f t="shared" si="19"/>
        <v>4383.46</v>
      </c>
    </row>
    <row r="306" spans="1:48" x14ac:dyDescent="0.2">
      <c r="A306" s="19">
        <v>305</v>
      </c>
      <c r="B306" t="s">
        <v>1606</v>
      </c>
      <c r="C306" t="s">
        <v>1290</v>
      </c>
      <c r="D306" t="s">
        <v>1062</v>
      </c>
      <c r="E306" t="s">
        <v>2202</v>
      </c>
      <c r="F306" t="s">
        <v>2397</v>
      </c>
      <c r="G306" t="s">
        <v>1249</v>
      </c>
      <c r="H306" t="s">
        <v>3827</v>
      </c>
      <c r="I306" t="s">
        <v>3839</v>
      </c>
      <c r="J306" t="s">
        <v>3523</v>
      </c>
      <c r="K306" t="s">
        <v>3525</v>
      </c>
      <c r="L306" t="s">
        <v>2776</v>
      </c>
      <c r="M306" s="1086">
        <v>0</v>
      </c>
      <c r="N306" s="1086">
        <v>225005.21</v>
      </c>
      <c r="O306" s="1086">
        <v>46</v>
      </c>
      <c r="P306" s="1086">
        <v>81421.179999999993</v>
      </c>
      <c r="Q306" s="1086">
        <v>0</v>
      </c>
      <c r="R306" s="1086">
        <v>0</v>
      </c>
      <c r="S306" s="1086">
        <v>0</v>
      </c>
      <c r="T306" s="1086">
        <v>8911.61</v>
      </c>
      <c r="U306" s="1086">
        <v>42764.54</v>
      </c>
      <c r="V306" s="1086">
        <v>0</v>
      </c>
      <c r="W306" s="1086">
        <v>16000.39</v>
      </c>
      <c r="X306" s="1086">
        <v>0</v>
      </c>
      <c r="Y306" s="1086">
        <v>0</v>
      </c>
      <c r="Z306" s="1086">
        <v>0</v>
      </c>
      <c r="AA306" s="1086">
        <v>72075</v>
      </c>
      <c r="AB306" s="1086">
        <v>0</v>
      </c>
      <c r="AC306" s="1086">
        <v>3878.49</v>
      </c>
      <c r="AD306" s="1086" t="s">
        <v>248</v>
      </c>
      <c r="AE306" s="1086" t="s">
        <v>3877</v>
      </c>
      <c r="AF306" s="1086">
        <f t="shared" si="17"/>
        <v>3878.4900000000198</v>
      </c>
      <c r="AG306" s="1086">
        <f t="shared" si="16"/>
        <v>-2.0008883439004421E-11</v>
      </c>
      <c r="AQ306" s="1086">
        <v>0</v>
      </c>
      <c r="AR306" s="1086">
        <v>0</v>
      </c>
      <c r="AS306" s="1086">
        <v>3878.49</v>
      </c>
      <c r="AT306" s="1086">
        <f t="shared" si="18"/>
        <v>0</v>
      </c>
      <c r="AV306" s="1150">
        <f t="shared" si="19"/>
        <v>221172.71999999997</v>
      </c>
    </row>
    <row r="307" spans="1:48" x14ac:dyDescent="0.2">
      <c r="A307" s="19">
        <v>306</v>
      </c>
      <c r="B307" t="s">
        <v>1607</v>
      </c>
      <c r="C307" t="s">
        <v>1290</v>
      </c>
      <c r="D307" t="s">
        <v>1037</v>
      </c>
      <c r="E307" t="s">
        <v>2203</v>
      </c>
      <c r="F307" t="s">
        <v>2398</v>
      </c>
      <c r="G307" t="s">
        <v>1250</v>
      </c>
      <c r="H307" t="s">
        <v>3825</v>
      </c>
      <c r="I307" t="s">
        <v>3839</v>
      </c>
      <c r="J307" t="s">
        <v>3274</v>
      </c>
      <c r="K307" t="s">
        <v>3526</v>
      </c>
      <c r="L307" t="s">
        <v>2777</v>
      </c>
      <c r="M307" s="1086">
        <v>96682.93</v>
      </c>
      <c r="N307" s="1086">
        <v>0</v>
      </c>
      <c r="O307" s="1086">
        <v>143284.94</v>
      </c>
      <c r="P307" s="1086">
        <v>0</v>
      </c>
      <c r="Q307" s="1086">
        <v>0</v>
      </c>
      <c r="R307" s="1086">
        <v>0</v>
      </c>
      <c r="S307" s="1086">
        <v>0</v>
      </c>
      <c r="T307" s="1086">
        <v>0</v>
      </c>
      <c r="U307" s="1086">
        <v>18555.18</v>
      </c>
      <c r="V307" s="1086">
        <v>0</v>
      </c>
      <c r="W307" s="1086">
        <v>0</v>
      </c>
      <c r="X307" s="1086">
        <v>81522.66</v>
      </c>
      <c r="Y307" s="1086">
        <v>0</v>
      </c>
      <c r="Z307" s="1086">
        <v>0</v>
      </c>
      <c r="AA307" s="1086">
        <v>20850</v>
      </c>
      <c r="AB307" s="1086">
        <v>0</v>
      </c>
      <c r="AC307" s="1086">
        <v>119040.03</v>
      </c>
      <c r="AD307" s="1086" t="s">
        <v>248</v>
      </c>
      <c r="AE307" s="1086" t="s">
        <v>3877</v>
      </c>
      <c r="AF307" s="1086">
        <f t="shared" si="17"/>
        <v>119040.03</v>
      </c>
      <c r="AG307" s="1086">
        <f t="shared" si="16"/>
        <v>0</v>
      </c>
      <c r="AQ307" s="1086">
        <v>0</v>
      </c>
      <c r="AR307" s="1086">
        <v>0</v>
      </c>
      <c r="AS307" s="1086">
        <v>119040.03</v>
      </c>
      <c r="AT307" s="1086">
        <f t="shared" si="18"/>
        <v>0</v>
      </c>
      <c r="AV307" s="1150">
        <f t="shared" si="19"/>
        <v>120927.84</v>
      </c>
    </row>
    <row r="308" spans="1:48" x14ac:dyDescent="0.2">
      <c r="A308" s="19">
        <v>307</v>
      </c>
      <c r="B308" t="s">
        <v>1608</v>
      </c>
      <c r="C308" t="s">
        <v>1290</v>
      </c>
      <c r="D308" t="s">
        <v>1056</v>
      </c>
      <c r="E308" t="s">
        <v>2204</v>
      </c>
      <c r="F308" t="s">
        <v>2399</v>
      </c>
      <c r="G308" t="s">
        <v>1256</v>
      </c>
      <c r="H308" t="s">
        <v>3828</v>
      </c>
      <c r="I308" t="s">
        <v>3839</v>
      </c>
      <c r="J308" t="s">
        <v>3324</v>
      </c>
      <c r="K308" t="s">
        <v>3527</v>
      </c>
      <c r="L308" t="s">
        <v>2778</v>
      </c>
      <c r="M308" s="1086">
        <v>596298.36</v>
      </c>
      <c r="N308" s="1086">
        <v>408548.86</v>
      </c>
      <c r="O308" s="1086">
        <v>0</v>
      </c>
      <c r="P308" s="1086">
        <v>17509.91</v>
      </c>
      <c r="Q308" s="1086">
        <v>0</v>
      </c>
      <c r="R308" s="1086">
        <v>0</v>
      </c>
      <c r="S308" s="1086">
        <v>0</v>
      </c>
      <c r="T308" s="1086">
        <v>7374.67</v>
      </c>
      <c r="U308" s="1086">
        <v>43927.72</v>
      </c>
      <c r="V308" s="1086">
        <v>0</v>
      </c>
      <c r="W308" s="1086">
        <v>0</v>
      </c>
      <c r="X308" s="1086">
        <v>4576.72</v>
      </c>
      <c r="Y308" s="1086">
        <v>0</v>
      </c>
      <c r="Z308" s="1086">
        <v>0</v>
      </c>
      <c r="AA308" s="1086">
        <v>98349.93</v>
      </c>
      <c r="AB308" s="1086">
        <v>0</v>
      </c>
      <c r="AC308" s="1086">
        <v>833108.27</v>
      </c>
      <c r="AD308" s="1086" t="s">
        <v>248</v>
      </c>
      <c r="AE308" s="1086" t="s">
        <v>3877</v>
      </c>
      <c r="AF308" s="1086">
        <f t="shared" si="17"/>
        <v>833108.27</v>
      </c>
      <c r="AG308" s="1086">
        <f t="shared" si="16"/>
        <v>0</v>
      </c>
      <c r="AQ308" s="1086">
        <v>0</v>
      </c>
      <c r="AR308" s="1086">
        <v>0</v>
      </c>
      <c r="AS308" s="1086">
        <v>833108.2699999999</v>
      </c>
      <c r="AT308" s="1086">
        <f t="shared" si="18"/>
        <v>0</v>
      </c>
      <c r="AV308" s="1150">
        <f t="shared" si="19"/>
        <v>171738.95</v>
      </c>
    </row>
    <row r="309" spans="1:48" x14ac:dyDescent="0.2">
      <c r="A309" s="19">
        <v>308</v>
      </c>
      <c r="B309" t="s">
        <v>1609</v>
      </c>
      <c r="C309" t="s">
        <v>1290</v>
      </c>
      <c r="D309" t="s">
        <v>1058</v>
      </c>
      <c r="E309" t="s">
        <v>2205</v>
      </c>
      <c r="F309" t="s">
        <v>2400</v>
      </c>
      <c r="G309" t="s">
        <v>1250</v>
      </c>
      <c r="H309" t="s">
        <v>3825</v>
      </c>
      <c r="I309" t="s">
        <v>3839</v>
      </c>
      <c r="J309" t="s">
        <v>3313</v>
      </c>
      <c r="K309" t="s">
        <v>3528</v>
      </c>
      <c r="L309" t="s">
        <v>2400</v>
      </c>
      <c r="M309" s="1086">
        <v>284375.45</v>
      </c>
      <c r="N309" s="1086">
        <v>1602808.02</v>
      </c>
      <c r="O309" s="1086">
        <v>209195</v>
      </c>
      <c r="P309" s="1086">
        <v>370038.5</v>
      </c>
      <c r="Q309" s="1086">
        <v>0</v>
      </c>
      <c r="R309" s="1086">
        <v>412629.44</v>
      </c>
      <c r="S309" s="1086">
        <v>367864.69</v>
      </c>
      <c r="T309" s="1086">
        <v>301939.32</v>
      </c>
      <c r="U309" s="1086">
        <v>206780.33</v>
      </c>
      <c r="V309" s="1086">
        <v>0</v>
      </c>
      <c r="W309" s="1086">
        <v>4761.13</v>
      </c>
      <c r="X309" s="1086">
        <v>1867.94</v>
      </c>
      <c r="Y309" s="1086">
        <v>0</v>
      </c>
      <c r="Z309" s="1086">
        <v>0</v>
      </c>
      <c r="AA309" s="1086">
        <v>55888.47</v>
      </c>
      <c r="AB309" s="1086">
        <v>0</v>
      </c>
      <c r="AC309" s="1086">
        <v>374608.65</v>
      </c>
      <c r="AD309" s="1086" t="s">
        <v>248</v>
      </c>
      <c r="AE309" s="1086" t="s">
        <v>3877</v>
      </c>
      <c r="AF309" s="1086">
        <f t="shared" si="17"/>
        <v>374608.65000000014</v>
      </c>
      <c r="AG309" s="1086">
        <f t="shared" si="16"/>
        <v>0</v>
      </c>
      <c r="AQ309" s="1086">
        <v>0</v>
      </c>
      <c r="AR309" s="1086">
        <v>0</v>
      </c>
      <c r="AS309" s="1086">
        <v>374608.64999999997</v>
      </c>
      <c r="AT309" s="1086">
        <f t="shared" si="18"/>
        <v>0</v>
      </c>
      <c r="AV309" s="1150">
        <f t="shared" si="19"/>
        <v>1721769.8199999998</v>
      </c>
    </row>
    <row r="310" spans="1:48" x14ac:dyDescent="0.2">
      <c r="A310" s="19">
        <v>309</v>
      </c>
      <c r="B310" t="s">
        <v>1610</v>
      </c>
      <c r="C310" t="s">
        <v>1290</v>
      </c>
      <c r="D310" t="s">
        <v>1034</v>
      </c>
      <c r="E310" t="s">
        <v>2206</v>
      </c>
      <c r="F310" t="s">
        <v>2401</v>
      </c>
      <c r="G310" t="s">
        <v>3833</v>
      </c>
      <c r="H310" t="s">
        <v>3825</v>
      </c>
      <c r="I310" t="s">
        <v>3839</v>
      </c>
      <c r="J310" t="s">
        <v>3343</v>
      </c>
      <c r="K310" t="s">
        <v>3529</v>
      </c>
      <c r="L310" t="s">
        <v>2779</v>
      </c>
      <c r="M310" s="1086">
        <v>80512.11</v>
      </c>
      <c r="N310" s="1086">
        <v>131013.5</v>
      </c>
      <c r="O310" s="1086">
        <v>0</v>
      </c>
      <c r="P310" s="1086">
        <v>0</v>
      </c>
      <c r="Q310" s="1086">
        <v>0</v>
      </c>
      <c r="R310" s="1086">
        <v>0</v>
      </c>
      <c r="S310" s="1086">
        <v>0</v>
      </c>
      <c r="T310" s="1086">
        <v>0</v>
      </c>
      <c r="U310" s="1086">
        <v>151590.6</v>
      </c>
      <c r="V310" s="1086">
        <v>0</v>
      </c>
      <c r="W310" s="1086">
        <v>0</v>
      </c>
      <c r="X310" s="1086">
        <v>0</v>
      </c>
      <c r="Y310" s="1086">
        <v>0</v>
      </c>
      <c r="Z310" s="1086">
        <v>0</v>
      </c>
      <c r="AA310" s="1086">
        <v>4539.97</v>
      </c>
      <c r="AB310" s="1086">
        <v>0</v>
      </c>
      <c r="AC310" s="1086">
        <v>55395.040000000001</v>
      </c>
      <c r="AD310" s="1103" t="s">
        <v>1251</v>
      </c>
      <c r="AE310" s="1086" t="s">
        <v>3880</v>
      </c>
      <c r="AF310" s="1086">
        <f t="shared" si="17"/>
        <v>55395.039999999979</v>
      </c>
      <c r="AG310" s="1086">
        <f t="shared" si="16"/>
        <v>0</v>
      </c>
      <c r="AQ310" s="1086">
        <v>0</v>
      </c>
      <c r="AR310" s="1086">
        <v>0</v>
      </c>
      <c r="AS310" s="1086">
        <v>55395.040000000001</v>
      </c>
      <c r="AT310" s="1086">
        <f t="shared" si="18"/>
        <v>0</v>
      </c>
      <c r="AV310" s="1150">
        <f t="shared" si="19"/>
        <v>156130.57</v>
      </c>
    </row>
    <row r="311" spans="1:48" x14ac:dyDescent="0.2">
      <c r="A311" s="19">
        <v>310</v>
      </c>
      <c r="B311" t="s">
        <v>1611</v>
      </c>
      <c r="C311" t="s">
        <v>1290</v>
      </c>
      <c r="D311" t="s">
        <v>1037</v>
      </c>
      <c r="E311" t="s">
        <v>2207</v>
      </c>
      <c r="F311" t="s">
        <v>2402</v>
      </c>
      <c r="G311" t="s">
        <v>1250</v>
      </c>
      <c r="H311" t="s">
        <v>3829</v>
      </c>
      <c r="I311" t="s">
        <v>3839</v>
      </c>
      <c r="J311" t="s">
        <v>3274</v>
      </c>
      <c r="K311" t="s">
        <v>3530</v>
      </c>
      <c r="L311" t="s">
        <v>2780</v>
      </c>
      <c r="M311" s="1086">
        <v>838158.99</v>
      </c>
      <c r="N311" s="1086">
        <v>512557.55</v>
      </c>
      <c r="O311" s="1086">
        <v>0</v>
      </c>
      <c r="P311" s="1086">
        <v>0</v>
      </c>
      <c r="Q311" s="1086">
        <v>93154.81</v>
      </c>
      <c r="R311" s="1086">
        <v>0</v>
      </c>
      <c r="S311" s="1086">
        <v>0</v>
      </c>
      <c r="T311" s="1086">
        <v>761943.94</v>
      </c>
      <c r="U311" s="1086">
        <v>0</v>
      </c>
      <c r="V311" s="1086">
        <v>0</v>
      </c>
      <c r="W311" s="1086">
        <v>0</v>
      </c>
      <c r="X311" s="1086">
        <v>0</v>
      </c>
      <c r="Y311" s="1086">
        <v>0</v>
      </c>
      <c r="Z311" s="1086">
        <v>0</v>
      </c>
      <c r="AA311" s="1086">
        <v>0</v>
      </c>
      <c r="AB311" s="1086">
        <v>0</v>
      </c>
      <c r="AC311" s="1086">
        <v>495617.79</v>
      </c>
      <c r="AD311" s="1086" t="s">
        <v>248</v>
      </c>
      <c r="AE311" s="1086" t="s">
        <v>3877</v>
      </c>
      <c r="AF311" s="1086">
        <f t="shared" si="17"/>
        <v>495617.79000000004</v>
      </c>
      <c r="AG311" s="1086">
        <f t="shared" si="16"/>
        <v>0</v>
      </c>
      <c r="AQ311" s="1086">
        <v>0</v>
      </c>
      <c r="AR311" s="1086">
        <v>0</v>
      </c>
      <c r="AS311" s="1086">
        <v>495617.79</v>
      </c>
      <c r="AT311" s="1086">
        <f t="shared" si="18"/>
        <v>0</v>
      </c>
      <c r="AV311" s="1150">
        <f t="shared" si="19"/>
        <v>855098.75</v>
      </c>
    </row>
    <row r="312" spans="1:48" x14ac:dyDescent="0.2">
      <c r="A312" s="19">
        <v>312</v>
      </c>
      <c r="B312" t="s">
        <v>1612</v>
      </c>
      <c r="C312" t="s">
        <v>1290</v>
      </c>
      <c r="D312" t="s">
        <v>1039</v>
      </c>
      <c r="E312" t="s">
        <v>2208</v>
      </c>
      <c r="F312" t="s">
        <v>2403</v>
      </c>
      <c r="G312" t="s">
        <v>1250</v>
      </c>
      <c r="H312" t="s">
        <v>3822</v>
      </c>
      <c r="I312" t="s">
        <v>3839</v>
      </c>
      <c r="J312" t="s">
        <v>3266</v>
      </c>
      <c r="K312" t="s">
        <v>3531</v>
      </c>
      <c r="L312" t="s">
        <v>2781</v>
      </c>
      <c r="M312" s="1086">
        <v>24278.6</v>
      </c>
      <c r="N312" s="1086">
        <v>16100</v>
      </c>
      <c r="O312" s="1086">
        <v>2978.91</v>
      </c>
      <c r="P312" s="1086">
        <v>24000</v>
      </c>
      <c r="Q312" s="1086">
        <v>0</v>
      </c>
      <c r="R312" s="1086">
        <v>0</v>
      </c>
      <c r="S312" s="1086">
        <v>0</v>
      </c>
      <c r="T312" s="1086">
        <v>1532.53</v>
      </c>
      <c r="U312" s="1086">
        <v>1626.36</v>
      </c>
      <c r="V312" s="1086">
        <v>0</v>
      </c>
      <c r="W312" s="1086">
        <v>0</v>
      </c>
      <c r="X312" s="1086">
        <v>839.76</v>
      </c>
      <c r="Y312" s="1086">
        <v>0</v>
      </c>
      <c r="Z312" s="1086">
        <v>0</v>
      </c>
      <c r="AA312" s="1086">
        <v>633.5</v>
      </c>
      <c r="AB312" s="1086">
        <v>0</v>
      </c>
      <c r="AC312" s="1086">
        <v>14725.36</v>
      </c>
      <c r="AD312" s="1086" t="s">
        <v>248</v>
      </c>
      <c r="AE312" s="1086" t="s">
        <v>3877</v>
      </c>
      <c r="AF312" s="1086">
        <f t="shared" si="17"/>
        <v>14725.359999999997</v>
      </c>
      <c r="AG312" s="1086">
        <f t="shared" si="16"/>
        <v>0</v>
      </c>
      <c r="AQ312" s="1086">
        <v>0</v>
      </c>
      <c r="AR312" s="1086">
        <v>0</v>
      </c>
      <c r="AS312" s="1086">
        <v>14725.36</v>
      </c>
      <c r="AT312" s="1086">
        <f t="shared" si="18"/>
        <v>0</v>
      </c>
      <c r="AV312" s="1150">
        <f t="shared" si="19"/>
        <v>28632.149999999998</v>
      </c>
    </row>
    <row r="313" spans="1:48" x14ac:dyDescent="0.2">
      <c r="A313" s="19">
        <v>313</v>
      </c>
      <c r="B313" t="s">
        <v>1613</v>
      </c>
      <c r="C313" t="s">
        <v>1290</v>
      </c>
      <c r="D313" t="s">
        <v>1039</v>
      </c>
      <c r="E313" t="s">
        <v>2208</v>
      </c>
      <c r="F313" t="s">
        <v>2403</v>
      </c>
      <c r="G313" t="s">
        <v>1250</v>
      </c>
      <c r="H313" t="s">
        <v>3825</v>
      </c>
      <c r="I313" t="s">
        <v>3839</v>
      </c>
      <c r="J313" t="s">
        <v>3266</v>
      </c>
      <c r="K313" t="s">
        <v>3532</v>
      </c>
      <c r="L313" t="s">
        <v>2782</v>
      </c>
      <c r="M313" s="1086">
        <v>2750.8</v>
      </c>
      <c r="N313" s="1086">
        <v>13796.25</v>
      </c>
      <c r="O313" s="1086">
        <v>0</v>
      </c>
      <c r="P313" s="1086">
        <v>30850</v>
      </c>
      <c r="Q313" s="1086">
        <v>0</v>
      </c>
      <c r="R313" s="1086">
        <v>0</v>
      </c>
      <c r="S313" s="1086">
        <v>0</v>
      </c>
      <c r="T313" s="1086">
        <v>1097.01</v>
      </c>
      <c r="U313" s="1086">
        <v>2405.75</v>
      </c>
      <c r="V313" s="1086">
        <v>0</v>
      </c>
      <c r="W313" s="1086">
        <v>0</v>
      </c>
      <c r="X313" s="1086">
        <v>0</v>
      </c>
      <c r="Y313" s="1086">
        <v>-23375.200000000001</v>
      </c>
      <c r="Z313" s="1086">
        <v>0</v>
      </c>
      <c r="AA313" s="1086">
        <v>479.2</v>
      </c>
      <c r="AB313" s="1086">
        <v>0</v>
      </c>
      <c r="AC313" s="1086">
        <v>5090.29</v>
      </c>
      <c r="AD313" s="1086" t="s">
        <v>248</v>
      </c>
      <c r="AE313" s="1086" t="s">
        <v>3877</v>
      </c>
      <c r="AF313" s="1086">
        <f t="shared" si="17"/>
        <v>5090.2900000000045</v>
      </c>
      <c r="AG313" s="1086">
        <f t="shared" si="16"/>
        <v>0</v>
      </c>
      <c r="AQ313" s="1086">
        <v>0</v>
      </c>
      <c r="AR313" s="1086">
        <v>0</v>
      </c>
      <c r="AS313" s="1086">
        <v>5090.29</v>
      </c>
      <c r="AT313" s="1086">
        <f t="shared" si="18"/>
        <v>0</v>
      </c>
      <c r="AV313" s="1150">
        <f t="shared" si="19"/>
        <v>11456.759999999995</v>
      </c>
    </row>
    <row r="314" spans="1:48" x14ac:dyDescent="0.2">
      <c r="A314" s="19">
        <v>314</v>
      </c>
      <c r="B314" t="s">
        <v>1614</v>
      </c>
      <c r="C314" t="s">
        <v>1290</v>
      </c>
      <c r="D314" t="s">
        <v>1039</v>
      </c>
      <c r="E314" t="s">
        <v>2208</v>
      </c>
      <c r="F314" t="s">
        <v>2403</v>
      </c>
      <c r="G314" t="s">
        <v>1250</v>
      </c>
      <c r="H314" t="s">
        <v>3825</v>
      </c>
      <c r="I314" t="s">
        <v>3839</v>
      </c>
      <c r="J314" t="s">
        <v>3266</v>
      </c>
      <c r="K314" t="s">
        <v>3533</v>
      </c>
      <c r="L314" t="s">
        <v>2783</v>
      </c>
      <c r="M314" s="1086">
        <v>7269.13</v>
      </c>
      <c r="N314" s="1086">
        <v>34360</v>
      </c>
      <c r="O314" s="1086">
        <v>0</v>
      </c>
      <c r="P314" s="1086">
        <v>6500</v>
      </c>
      <c r="Q314" s="1086">
        <v>600</v>
      </c>
      <c r="R314" s="1086">
        <v>0</v>
      </c>
      <c r="S314" s="1086">
        <v>1521.05</v>
      </c>
      <c r="T314" s="1086">
        <v>508.09</v>
      </c>
      <c r="U314" s="1086">
        <v>15261.76</v>
      </c>
      <c r="V314" s="1086">
        <v>0</v>
      </c>
      <c r="W314" s="1086">
        <v>1576.95</v>
      </c>
      <c r="X314" s="1086">
        <v>6779.32</v>
      </c>
      <c r="Y314" s="1086">
        <v>0</v>
      </c>
      <c r="Z314" s="1086">
        <v>0</v>
      </c>
      <c r="AA314" s="1086">
        <v>1197.3499999999999</v>
      </c>
      <c r="AB314" s="1086">
        <v>0</v>
      </c>
      <c r="AC314" s="1086">
        <v>7684.61</v>
      </c>
      <c r="AD314" s="1086" t="s">
        <v>248</v>
      </c>
      <c r="AE314" s="1086" t="s">
        <v>3877</v>
      </c>
      <c r="AF314" s="1086">
        <f t="shared" si="17"/>
        <v>7684.6099999999933</v>
      </c>
      <c r="AG314" s="1086">
        <f t="shared" si="16"/>
        <v>0</v>
      </c>
      <c r="AQ314" s="1086">
        <v>0</v>
      </c>
      <c r="AR314" s="1086">
        <v>0</v>
      </c>
      <c r="AS314" s="1086">
        <v>7684.61</v>
      </c>
      <c r="AT314" s="1086">
        <f t="shared" si="18"/>
        <v>0</v>
      </c>
      <c r="AV314" s="1150">
        <f t="shared" si="19"/>
        <v>33944.520000000004</v>
      </c>
    </row>
    <row r="315" spans="1:48" x14ac:dyDescent="0.2">
      <c r="A315" s="19">
        <v>315</v>
      </c>
      <c r="B315" t="s">
        <v>1615</v>
      </c>
      <c r="C315" t="s">
        <v>1290</v>
      </c>
      <c r="D315" t="s">
        <v>1039</v>
      </c>
      <c r="E315" t="s">
        <v>2208</v>
      </c>
      <c r="F315" t="s">
        <v>2403</v>
      </c>
      <c r="G315" t="s">
        <v>1250</v>
      </c>
      <c r="H315" t="s">
        <v>3822</v>
      </c>
      <c r="I315" t="s">
        <v>3839</v>
      </c>
      <c r="J315" t="s">
        <v>3266</v>
      </c>
      <c r="K315" t="s">
        <v>3534</v>
      </c>
      <c r="L315" t="s">
        <v>2784</v>
      </c>
      <c r="M315" s="1086">
        <v>10997.53</v>
      </c>
      <c r="N315" s="1086">
        <v>17728.86</v>
      </c>
      <c r="O315" s="1086">
        <v>1907.38</v>
      </c>
      <c r="P315" s="1086">
        <v>10677.49</v>
      </c>
      <c r="Q315" s="1086">
        <v>112</v>
      </c>
      <c r="R315" s="1086">
        <v>0</v>
      </c>
      <c r="S315" s="1086">
        <v>0</v>
      </c>
      <c r="T315" s="1086">
        <v>-458.27</v>
      </c>
      <c r="U315" s="1086">
        <v>24181.599999999999</v>
      </c>
      <c r="V315" s="1086">
        <v>0</v>
      </c>
      <c r="W315" s="1086">
        <v>0</v>
      </c>
      <c r="X315" s="1086">
        <v>0</v>
      </c>
      <c r="Y315" s="1086">
        <v>-10875</v>
      </c>
      <c r="Z315" s="1086">
        <v>0</v>
      </c>
      <c r="AA315" s="1086">
        <v>723.75</v>
      </c>
      <c r="AB315" s="1086">
        <v>0</v>
      </c>
      <c r="AC315" s="1086">
        <v>6272.2</v>
      </c>
      <c r="AD315" s="1086" t="s">
        <v>248</v>
      </c>
      <c r="AE315" s="1086" t="s">
        <v>3877</v>
      </c>
      <c r="AF315" s="1086">
        <f t="shared" si="17"/>
        <v>6272.2000000000007</v>
      </c>
      <c r="AG315" s="1086">
        <f t="shared" si="16"/>
        <v>0</v>
      </c>
      <c r="AQ315" s="1086">
        <v>0</v>
      </c>
      <c r="AR315" s="1086">
        <v>0</v>
      </c>
      <c r="AS315" s="1086">
        <v>6272.2</v>
      </c>
      <c r="AT315" s="1086">
        <f t="shared" si="18"/>
        <v>0</v>
      </c>
      <c r="AV315" s="1150">
        <f t="shared" si="19"/>
        <v>24361.57</v>
      </c>
    </row>
    <row r="316" spans="1:48" x14ac:dyDescent="0.2">
      <c r="A316" s="19">
        <v>316</v>
      </c>
      <c r="B316" t="s">
        <v>1616</v>
      </c>
      <c r="C316" t="s">
        <v>1290</v>
      </c>
      <c r="D316" t="s">
        <v>1039</v>
      </c>
      <c r="E316" t="s">
        <v>2208</v>
      </c>
      <c r="F316" t="s">
        <v>2403</v>
      </c>
      <c r="G316" t="s">
        <v>1250</v>
      </c>
      <c r="H316" t="s">
        <v>3826</v>
      </c>
      <c r="I316" t="s">
        <v>3839</v>
      </c>
      <c r="J316" t="s">
        <v>3266</v>
      </c>
      <c r="K316" t="s">
        <v>3535</v>
      </c>
      <c r="L316" t="s">
        <v>2785</v>
      </c>
      <c r="M316" s="1086">
        <v>1795.88</v>
      </c>
      <c r="N316" s="1086">
        <v>2599.6999999999998</v>
      </c>
      <c r="O316" s="1086">
        <v>137700.4</v>
      </c>
      <c r="P316" s="1086">
        <v>73280.73</v>
      </c>
      <c r="Q316" s="1086">
        <v>250</v>
      </c>
      <c r="R316" s="1086">
        <v>0</v>
      </c>
      <c r="S316" s="1086">
        <v>3500.88</v>
      </c>
      <c r="T316" s="1086">
        <v>3051.33</v>
      </c>
      <c r="U316" s="1086">
        <v>23878.1</v>
      </c>
      <c r="V316" s="1086">
        <v>0</v>
      </c>
      <c r="W316" s="1086">
        <v>2245.92</v>
      </c>
      <c r="X316" s="1086">
        <v>7941.77</v>
      </c>
      <c r="Y316" s="1086">
        <v>0</v>
      </c>
      <c r="Z316" s="1086">
        <v>0</v>
      </c>
      <c r="AA316" s="1086">
        <v>1494.99</v>
      </c>
      <c r="AB316" s="1086">
        <v>0</v>
      </c>
      <c r="AC316" s="1086">
        <v>26452.26</v>
      </c>
      <c r="AD316" s="1086" t="s">
        <v>248</v>
      </c>
      <c r="AE316" s="1086" t="s">
        <v>3877</v>
      </c>
      <c r="AF316" s="1086">
        <f t="shared" si="17"/>
        <v>26452.259999999966</v>
      </c>
      <c r="AG316" s="1086">
        <f t="shared" si="16"/>
        <v>3.2741809263825417E-11</v>
      </c>
      <c r="AQ316" s="1086">
        <v>0</v>
      </c>
      <c r="AR316" s="1086">
        <v>0</v>
      </c>
      <c r="AS316" s="1086">
        <v>26452.26</v>
      </c>
      <c r="AT316" s="1086">
        <f t="shared" si="18"/>
        <v>0</v>
      </c>
      <c r="AV316" s="1150">
        <f t="shared" si="19"/>
        <v>115643.72000000002</v>
      </c>
    </row>
    <row r="317" spans="1:48" x14ac:dyDescent="0.2">
      <c r="A317" s="19">
        <v>317</v>
      </c>
      <c r="B317" t="s">
        <v>1617</v>
      </c>
      <c r="C317" t="s">
        <v>1290</v>
      </c>
      <c r="D317" t="s">
        <v>1039</v>
      </c>
      <c r="E317" t="s">
        <v>2208</v>
      </c>
      <c r="F317" t="s">
        <v>2403</v>
      </c>
      <c r="G317" t="s">
        <v>1250</v>
      </c>
      <c r="H317" t="s">
        <v>3825</v>
      </c>
      <c r="I317" t="s">
        <v>3839</v>
      </c>
      <c r="J317" t="s">
        <v>3266</v>
      </c>
      <c r="K317" t="s">
        <v>3536</v>
      </c>
      <c r="L317" t="s">
        <v>2786</v>
      </c>
      <c r="M317" s="1086">
        <v>2825.24</v>
      </c>
      <c r="N317" s="1086">
        <v>36290.85</v>
      </c>
      <c r="O317" s="1086">
        <v>4326.91</v>
      </c>
      <c r="P317" s="1086">
        <v>28474</v>
      </c>
      <c r="Q317" s="1086">
        <v>0</v>
      </c>
      <c r="R317" s="1086">
        <v>3151.7</v>
      </c>
      <c r="S317" s="1086">
        <v>0</v>
      </c>
      <c r="T317" s="1086">
        <v>2169.58</v>
      </c>
      <c r="U317" s="1086">
        <v>3694.34</v>
      </c>
      <c r="V317" s="1086">
        <v>0</v>
      </c>
      <c r="W317" s="1086">
        <v>267.32</v>
      </c>
      <c r="X317" s="1086">
        <v>768.83</v>
      </c>
      <c r="Y317" s="1086">
        <v>-860</v>
      </c>
      <c r="Z317" s="1086">
        <v>0</v>
      </c>
      <c r="AA317" s="1086">
        <v>1312.74</v>
      </c>
      <c r="AB317" s="1086">
        <v>0</v>
      </c>
      <c r="AC317" s="1086">
        <v>4464.49</v>
      </c>
      <c r="AD317" s="1086" t="s">
        <v>248</v>
      </c>
      <c r="AE317" s="1086" t="s">
        <v>3877</v>
      </c>
      <c r="AF317" s="1086">
        <f t="shared" si="17"/>
        <v>4464.4900000000052</v>
      </c>
      <c r="AG317" s="1086">
        <f t="shared" si="16"/>
        <v>0</v>
      </c>
      <c r="AQ317" s="1086">
        <v>0</v>
      </c>
      <c r="AR317" s="1086">
        <v>0</v>
      </c>
      <c r="AS317" s="1086">
        <v>4464.49</v>
      </c>
      <c r="AT317" s="1086">
        <f t="shared" si="18"/>
        <v>0</v>
      </c>
      <c r="AV317" s="1150">
        <f t="shared" si="19"/>
        <v>38978.509999999995</v>
      </c>
    </row>
    <row r="318" spans="1:48" x14ac:dyDescent="0.2">
      <c r="A318" s="19">
        <v>318</v>
      </c>
      <c r="B318" t="s">
        <v>1618</v>
      </c>
      <c r="C318" t="s">
        <v>1290</v>
      </c>
      <c r="D318" t="s">
        <v>1036</v>
      </c>
      <c r="E318" t="s">
        <v>2209</v>
      </c>
      <c r="F318" t="s">
        <v>2404</v>
      </c>
      <c r="G318" t="s">
        <v>1250</v>
      </c>
      <c r="H318" t="s">
        <v>3825</v>
      </c>
      <c r="I318" t="s">
        <v>3839</v>
      </c>
      <c r="J318" t="s">
        <v>3263</v>
      </c>
      <c r="K318" t="s">
        <v>3537</v>
      </c>
      <c r="L318" t="s">
        <v>2787</v>
      </c>
      <c r="M318" s="1086">
        <v>181135.35</v>
      </c>
      <c r="N318" s="1086">
        <v>289503.02</v>
      </c>
      <c r="O318" s="1086">
        <v>0</v>
      </c>
      <c r="P318" s="1086">
        <v>118657.66</v>
      </c>
      <c r="Q318" s="1086">
        <v>11250</v>
      </c>
      <c r="R318" s="1086">
        <v>43967.199999999997</v>
      </c>
      <c r="S318" s="1086">
        <v>0</v>
      </c>
      <c r="T318" s="1086">
        <v>48542.080000000002</v>
      </c>
      <c r="U318" s="1086">
        <v>180068.38</v>
      </c>
      <c r="V318" s="1086">
        <v>0</v>
      </c>
      <c r="W318" s="1086">
        <v>0</v>
      </c>
      <c r="X318" s="1086">
        <v>3711.06</v>
      </c>
      <c r="Y318" s="1086">
        <v>0</v>
      </c>
      <c r="Z318" s="1086">
        <v>0</v>
      </c>
      <c r="AA318" s="1086">
        <v>9925.1299999999992</v>
      </c>
      <c r="AB318" s="1086">
        <v>0</v>
      </c>
      <c r="AC318" s="1086">
        <v>54516.86</v>
      </c>
      <c r="AD318" s="1086" t="s">
        <v>248</v>
      </c>
      <c r="AE318" s="1086" t="s">
        <v>3877</v>
      </c>
      <c r="AF318" s="1086">
        <f t="shared" si="17"/>
        <v>54516.859999999986</v>
      </c>
      <c r="AG318" s="1086">
        <f t="shared" si="16"/>
        <v>0</v>
      </c>
      <c r="AQ318" s="1086">
        <v>0</v>
      </c>
      <c r="AR318" s="1086">
        <v>0</v>
      </c>
      <c r="AS318" s="1086">
        <v>54516.86</v>
      </c>
      <c r="AT318" s="1086">
        <f t="shared" si="18"/>
        <v>0</v>
      </c>
      <c r="AV318" s="1150">
        <f t="shared" si="19"/>
        <v>416121.51</v>
      </c>
    </row>
    <row r="319" spans="1:48" x14ac:dyDescent="0.2">
      <c r="A319" s="19">
        <v>319</v>
      </c>
      <c r="B319" t="s">
        <v>1619</v>
      </c>
      <c r="C319" t="s">
        <v>1290</v>
      </c>
      <c r="D319" t="s">
        <v>1036</v>
      </c>
      <c r="E319" t="s">
        <v>2209</v>
      </c>
      <c r="F319" t="s">
        <v>2404</v>
      </c>
      <c r="G319" t="s">
        <v>1250</v>
      </c>
      <c r="H319" t="s">
        <v>3825</v>
      </c>
      <c r="I319" t="s">
        <v>3839</v>
      </c>
      <c r="J319" t="s">
        <v>3263</v>
      </c>
      <c r="K319" t="s">
        <v>3538</v>
      </c>
      <c r="L319" t="s">
        <v>2788</v>
      </c>
      <c r="M319" s="1086">
        <v>154454.25</v>
      </c>
      <c r="N319" s="1086">
        <v>0</v>
      </c>
      <c r="O319" s="1086">
        <v>0</v>
      </c>
      <c r="P319" s="1086">
        <v>0</v>
      </c>
      <c r="Q319" s="1086">
        <v>0</v>
      </c>
      <c r="R319" s="1086">
        <v>0</v>
      </c>
      <c r="S319" s="1086">
        <v>0</v>
      </c>
      <c r="T319" s="1086">
        <v>0</v>
      </c>
      <c r="U319" s="1086">
        <v>18714.45</v>
      </c>
      <c r="V319" s="1086">
        <v>0</v>
      </c>
      <c r="W319" s="1086">
        <v>9215.61</v>
      </c>
      <c r="X319" s="1086">
        <v>23849.82</v>
      </c>
      <c r="Y319" s="1086">
        <v>0</v>
      </c>
      <c r="Z319" s="1086">
        <v>0</v>
      </c>
      <c r="AA319" s="1086">
        <v>0</v>
      </c>
      <c r="AB319" s="1086">
        <v>0</v>
      </c>
      <c r="AC319" s="1086">
        <v>102674.37</v>
      </c>
      <c r="AD319" s="1086" t="s">
        <v>248</v>
      </c>
      <c r="AE319" s="1086" t="s">
        <v>3877</v>
      </c>
      <c r="AF319" s="1086">
        <f t="shared" si="17"/>
        <v>102674.37</v>
      </c>
      <c r="AG319" s="1086">
        <f t="shared" si="16"/>
        <v>0</v>
      </c>
      <c r="AQ319" s="1086">
        <v>0</v>
      </c>
      <c r="AR319" s="1086">
        <v>0</v>
      </c>
      <c r="AS319" s="1086">
        <v>102674.37</v>
      </c>
      <c r="AT319" s="1086">
        <f t="shared" si="18"/>
        <v>0</v>
      </c>
      <c r="AV319" s="1150">
        <f t="shared" si="19"/>
        <v>51779.880000000005</v>
      </c>
    </row>
    <row r="320" spans="1:48" x14ac:dyDescent="0.2">
      <c r="A320" s="19">
        <v>321</v>
      </c>
      <c r="B320" t="s">
        <v>1620</v>
      </c>
      <c r="C320" t="s">
        <v>1290</v>
      </c>
      <c r="D320" t="s">
        <v>1052</v>
      </c>
      <c r="E320" t="s">
        <v>2210</v>
      </c>
      <c r="F320" t="s">
        <v>2405</v>
      </c>
      <c r="G320" t="s">
        <v>1257</v>
      </c>
      <c r="H320" t="s">
        <v>3827</v>
      </c>
      <c r="I320" t="s">
        <v>3839</v>
      </c>
      <c r="J320" t="s">
        <v>3520</v>
      </c>
      <c r="K320" t="s">
        <v>3539</v>
      </c>
      <c r="L320" t="s">
        <v>2789</v>
      </c>
      <c r="M320" s="1086">
        <v>20874.080000000002</v>
      </c>
      <c r="N320" s="1086">
        <v>713612.23</v>
      </c>
      <c r="O320" s="1086">
        <v>9869</v>
      </c>
      <c r="P320" s="1086">
        <v>26558.31</v>
      </c>
      <c r="Q320" s="1086">
        <v>0</v>
      </c>
      <c r="R320" s="1086">
        <v>317140.27</v>
      </c>
      <c r="S320" s="1086">
        <v>17513.46</v>
      </c>
      <c r="T320" s="1086">
        <v>122102.24</v>
      </c>
      <c r="U320" s="1086">
        <v>92747.18</v>
      </c>
      <c r="V320" s="1086">
        <v>0</v>
      </c>
      <c r="W320" s="1086">
        <v>3142.91</v>
      </c>
      <c r="X320" s="1086">
        <v>26662.92</v>
      </c>
      <c r="Y320" s="1086">
        <v>-36</v>
      </c>
      <c r="Z320" s="1086">
        <v>0</v>
      </c>
      <c r="AA320" s="1086">
        <v>23386.47</v>
      </c>
      <c r="AB320" s="1086">
        <v>0</v>
      </c>
      <c r="AC320" s="1086">
        <v>115137.55</v>
      </c>
      <c r="AD320" s="1086" t="s">
        <v>248</v>
      </c>
      <c r="AE320" s="1086" t="s">
        <v>3877</v>
      </c>
      <c r="AF320" s="1086">
        <f t="shared" si="17"/>
        <v>115137.54999999993</v>
      </c>
      <c r="AG320" s="1086">
        <f t="shared" si="16"/>
        <v>0</v>
      </c>
      <c r="AQ320" s="1086">
        <v>0</v>
      </c>
      <c r="AR320" s="1086">
        <v>0</v>
      </c>
      <c r="AS320" s="1086">
        <v>115137.55</v>
      </c>
      <c r="AT320" s="1086">
        <f t="shared" si="18"/>
        <v>0</v>
      </c>
      <c r="AV320" s="1150">
        <f t="shared" si="19"/>
        <v>629217.76</v>
      </c>
    </row>
    <row r="321" spans="1:48" x14ac:dyDescent="0.2">
      <c r="A321" s="19">
        <v>322</v>
      </c>
      <c r="B321" t="s">
        <v>1621</v>
      </c>
      <c r="C321" t="s">
        <v>1290</v>
      </c>
      <c r="D321" t="s">
        <v>1050</v>
      </c>
      <c r="E321" t="s">
        <v>2211</v>
      </c>
      <c r="F321" t="s">
        <v>2406</v>
      </c>
      <c r="G321" t="s">
        <v>1250</v>
      </c>
      <c r="H321" t="s">
        <v>3825</v>
      </c>
      <c r="I321" t="s">
        <v>3839</v>
      </c>
      <c r="J321" t="s">
        <v>3272</v>
      </c>
      <c r="K321" t="s">
        <v>3540</v>
      </c>
      <c r="L321" t="s">
        <v>2790</v>
      </c>
      <c r="M321" s="1086">
        <v>132007.29999999999</v>
      </c>
      <c r="N321" s="1086">
        <v>114363.54</v>
      </c>
      <c r="O321" s="1086">
        <v>0</v>
      </c>
      <c r="P321" s="1086">
        <v>45327.49</v>
      </c>
      <c r="Q321" s="1086">
        <v>0</v>
      </c>
      <c r="R321" s="1086">
        <v>0</v>
      </c>
      <c r="S321" s="1086">
        <v>8555.2000000000007</v>
      </c>
      <c r="T321" s="1086">
        <v>5077.0200000000004</v>
      </c>
      <c r="U321" s="1086">
        <v>63016.85</v>
      </c>
      <c r="V321" s="1086">
        <v>0</v>
      </c>
      <c r="W321" s="1086">
        <v>12540.69</v>
      </c>
      <c r="X321" s="1086">
        <v>4162.74</v>
      </c>
      <c r="Y321" s="1086">
        <v>0</v>
      </c>
      <c r="Z321" s="1086">
        <v>0</v>
      </c>
      <c r="AA321" s="1086">
        <v>4632.72</v>
      </c>
      <c r="AB321" s="1086">
        <v>0</v>
      </c>
      <c r="AC321" s="1086">
        <v>103058.13</v>
      </c>
      <c r="AD321" s="1086" t="s">
        <v>248</v>
      </c>
      <c r="AE321" s="1086" t="s">
        <v>3877</v>
      </c>
      <c r="AF321" s="1086">
        <f t="shared" si="17"/>
        <v>103058.12999999998</v>
      </c>
      <c r="AG321" s="1086">
        <f t="shared" si="16"/>
        <v>0</v>
      </c>
      <c r="AQ321" s="1086">
        <v>0</v>
      </c>
      <c r="AR321" s="1086">
        <v>0</v>
      </c>
      <c r="AS321" s="1086">
        <v>103058.13</v>
      </c>
      <c r="AT321" s="1086">
        <f t="shared" si="18"/>
        <v>0</v>
      </c>
      <c r="AV321" s="1150">
        <f t="shared" si="19"/>
        <v>143312.71</v>
      </c>
    </row>
    <row r="322" spans="1:48" x14ac:dyDescent="0.2">
      <c r="A322" s="19">
        <v>323</v>
      </c>
      <c r="B322" t="s">
        <v>1622</v>
      </c>
      <c r="C322" t="s">
        <v>1290</v>
      </c>
      <c r="D322" t="s">
        <v>1040</v>
      </c>
      <c r="E322" t="s">
        <v>2212</v>
      </c>
      <c r="F322" t="s">
        <v>2407</v>
      </c>
      <c r="G322" t="s">
        <v>1257</v>
      </c>
      <c r="H322" t="s">
        <v>3826</v>
      </c>
      <c r="I322" t="s">
        <v>3839</v>
      </c>
      <c r="J322" t="s">
        <v>3541</v>
      </c>
      <c r="K322" t="s">
        <v>3542</v>
      </c>
      <c r="L322" t="s">
        <v>2791</v>
      </c>
      <c r="M322" s="1086">
        <v>397345.04</v>
      </c>
      <c r="N322" s="1086">
        <v>669723.44999999995</v>
      </c>
      <c r="O322" s="1086">
        <v>40995</v>
      </c>
      <c r="P322" s="1086">
        <v>232388</v>
      </c>
      <c r="Q322" s="1086">
        <v>20625</v>
      </c>
      <c r="R322" s="1086">
        <v>51151.03</v>
      </c>
      <c r="S322" s="1086">
        <v>78252.36</v>
      </c>
      <c r="T322" s="1086">
        <v>106393.93</v>
      </c>
      <c r="U322" s="1086">
        <v>469825.28000000003</v>
      </c>
      <c r="V322" s="1086">
        <v>0</v>
      </c>
      <c r="W322" s="1086">
        <v>14079.71</v>
      </c>
      <c r="X322" s="1086">
        <v>48342.51</v>
      </c>
      <c r="Y322" s="1086">
        <v>0</v>
      </c>
      <c r="Z322" s="1086">
        <v>0</v>
      </c>
      <c r="AA322" s="1086">
        <v>22586.41</v>
      </c>
      <c r="AB322" s="1086">
        <v>0</v>
      </c>
      <c r="AC322" s="1086">
        <v>64419.26</v>
      </c>
      <c r="AD322" s="1086" t="s">
        <v>248</v>
      </c>
      <c r="AE322" s="1086" t="s">
        <v>3877</v>
      </c>
      <c r="AF322" s="1086">
        <f t="shared" si="17"/>
        <v>64419.259999999893</v>
      </c>
      <c r="AG322" s="1086">
        <f t="shared" ref="AG322:AG381" si="20">AC322-AF322</f>
        <v>1.0913936421275139E-10</v>
      </c>
      <c r="AQ322" s="1086">
        <v>0</v>
      </c>
      <c r="AR322" s="1086">
        <v>0</v>
      </c>
      <c r="AS322" s="1086">
        <v>64419.259999999995</v>
      </c>
      <c r="AT322" s="1086">
        <f t="shared" si="18"/>
        <v>0</v>
      </c>
      <c r="AV322" s="1150">
        <f t="shared" si="19"/>
        <v>1043644.2300000001</v>
      </c>
    </row>
    <row r="323" spans="1:48" x14ac:dyDescent="0.2">
      <c r="A323" s="19">
        <v>324</v>
      </c>
      <c r="B323" t="s">
        <v>1623</v>
      </c>
      <c r="C323" t="s">
        <v>1290</v>
      </c>
      <c r="D323" t="s">
        <v>1040</v>
      </c>
      <c r="E323" t="s">
        <v>2212</v>
      </c>
      <c r="F323" t="s">
        <v>2407</v>
      </c>
      <c r="G323" t="s">
        <v>1257</v>
      </c>
      <c r="H323" t="s">
        <v>3825</v>
      </c>
      <c r="I323" t="s">
        <v>3839</v>
      </c>
      <c r="J323" t="s">
        <v>3541</v>
      </c>
      <c r="K323" t="s">
        <v>3543</v>
      </c>
      <c r="L323" t="s">
        <v>2792</v>
      </c>
      <c r="M323" s="1086">
        <v>401090.92</v>
      </c>
      <c r="N323" s="1086">
        <v>470474.02</v>
      </c>
      <c r="O323" s="1086">
        <v>0</v>
      </c>
      <c r="P323" s="1086">
        <v>50270.62</v>
      </c>
      <c r="Q323" s="1086">
        <v>31375</v>
      </c>
      <c r="R323" s="1086">
        <v>101039.61</v>
      </c>
      <c r="S323" s="1086">
        <v>21401.91</v>
      </c>
      <c r="T323" s="1086">
        <v>70963.600000000006</v>
      </c>
      <c r="U323" s="1086">
        <v>205905.35</v>
      </c>
      <c r="V323" s="1086">
        <v>0</v>
      </c>
      <c r="W323" s="1086">
        <v>3000</v>
      </c>
      <c r="X323" s="1086">
        <v>0</v>
      </c>
      <c r="Y323" s="1086">
        <v>0</v>
      </c>
      <c r="Z323" s="1086">
        <v>0</v>
      </c>
      <c r="AA323" s="1086">
        <v>16446.490000000002</v>
      </c>
      <c r="AB323" s="1086">
        <v>0</v>
      </c>
      <c r="AC323" s="1086">
        <v>371162.36</v>
      </c>
      <c r="AD323" s="1086" t="s">
        <v>248</v>
      </c>
      <c r="AE323" s="1086" t="s">
        <v>3877</v>
      </c>
      <c r="AF323" s="1086">
        <f t="shared" si="17"/>
        <v>371162.36</v>
      </c>
      <c r="AG323" s="1086">
        <f t="shared" si="20"/>
        <v>0</v>
      </c>
      <c r="AQ323" s="1086">
        <v>0</v>
      </c>
      <c r="AR323" s="1086">
        <v>0</v>
      </c>
      <c r="AS323" s="1086">
        <v>371162.36</v>
      </c>
      <c r="AT323" s="1086">
        <f t="shared" si="18"/>
        <v>0</v>
      </c>
      <c r="AV323" s="1150">
        <f t="shared" si="19"/>
        <v>500402.57999999996</v>
      </c>
    </row>
    <row r="324" spans="1:48" x14ac:dyDescent="0.2">
      <c r="A324" s="19">
        <v>325</v>
      </c>
      <c r="B324" t="s">
        <v>1624</v>
      </c>
      <c r="C324" t="s">
        <v>1290</v>
      </c>
      <c r="D324" t="s">
        <v>1056</v>
      </c>
      <c r="E324" t="s">
        <v>2213</v>
      </c>
      <c r="F324" t="s">
        <v>2408</v>
      </c>
      <c r="G324" t="s">
        <v>1256</v>
      </c>
      <c r="H324" t="s">
        <v>3828</v>
      </c>
      <c r="I324" t="s">
        <v>3839</v>
      </c>
      <c r="J324" t="s">
        <v>3544</v>
      </c>
      <c r="K324" t="s">
        <v>3545</v>
      </c>
      <c r="L324" t="s">
        <v>2793</v>
      </c>
      <c r="M324" s="1086">
        <v>4448011.41</v>
      </c>
      <c r="N324" s="1086">
        <v>1503511.96</v>
      </c>
      <c r="O324" s="1086">
        <v>0</v>
      </c>
      <c r="P324" s="1086">
        <v>0</v>
      </c>
      <c r="Q324" s="1086">
        <v>0</v>
      </c>
      <c r="R324" s="1086">
        <v>0</v>
      </c>
      <c r="S324" s="1086">
        <v>0</v>
      </c>
      <c r="T324" s="1086">
        <v>0</v>
      </c>
      <c r="U324" s="1086">
        <v>83.28</v>
      </c>
      <c r="V324" s="1086">
        <v>0</v>
      </c>
      <c r="W324" s="1086">
        <v>0</v>
      </c>
      <c r="X324" s="1086">
        <v>0</v>
      </c>
      <c r="Y324" s="1086">
        <v>0</v>
      </c>
      <c r="Z324" s="1086">
        <v>0</v>
      </c>
      <c r="AA324" s="1086">
        <v>1150790.1000000001</v>
      </c>
      <c r="AB324" s="1086">
        <v>0</v>
      </c>
      <c r="AC324" s="1086">
        <v>4800649.99</v>
      </c>
      <c r="AD324" s="1086" t="s">
        <v>248</v>
      </c>
      <c r="AE324" s="1086" t="s">
        <v>3877</v>
      </c>
      <c r="AF324" s="1086">
        <f t="shared" si="17"/>
        <v>4800649.99</v>
      </c>
      <c r="AG324" s="1086">
        <f t="shared" si="20"/>
        <v>0</v>
      </c>
      <c r="AQ324" s="1086">
        <v>0</v>
      </c>
      <c r="AR324" s="1086">
        <v>0</v>
      </c>
      <c r="AS324" s="1086">
        <v>4800649.99</v>
      </c>
      <c r="AT324" s="1086">
        <f t="shared" si="18"/>
        <v>0</v>
      </c>
      <c r="AV324" s="1150">
        <f t="shared" si="19"/>
        <v>1150873.3800000001</v>
      </c>
    </row>
    <row r="325" spans="1:48" x14ac:dyDescent="0.2">
      <c r="A325" s="19">
        <v>326</v>
      </c>
      <c r="B325" t="s">
        <v>1625</v>
      </c>
      <c r="C325" t="s">
        <v>1290</v>
      </c>
      <c r="D325" t="s">
        <v>1056</v>
      </c>
      <c r="E325" t="s">
        <v>2213</v>
      </c>
      <c r="F325" t="s">
        <v>2408</v>
      </c>
      <c r="G325" t="s">
        <v>1256</v>
      </c>
      <c r="H325" t="s">
        <v>3827</v>
      </c>
      <c r="I325" t="s">
        <v>3839</v>
      </c>
      <c r="J325" t="s">
        <v>3544</v>
      </c>
      <c r="K325" t="s">
        <v>3546</v>
      </c>
      <c r="L325" t="s">
        <v>2794</v>
      </c>
      <c r="M325" s="1086">
        <v>808412.16000000003</v>
      </c>
      <c r="N325" s="1086">
        <v>0</v>
      </c>
      <c r="O325" s="1086">
        <v>1650192</v>
      </c>
      <c r="P325" s="1086">
        <v>225221.83</v>
      </c>
      <c r="Q325" s="1086">
        <v>0</v>
      </c>
      <c r="R325" s="1086">
        <v>5798.4</v>
      </c>
      <c r="S325" s="1086">
        <v>0</v>
      </c>
      <c r="T325" s="1086">
        <v>65583.88</v>
      </c>
      <c r="U325" s="1086">
        <v>1193617.18</v>
      </c>
      <c r="V325" s="1086">
        <v>0</v>
      </c>
      <c r="W325" s="1086">
        <v>0</v>
      </c>
      <c r="X325" s="1086">
        <v>4118.09</v>
      </c>
      <c r="Y325" s="1086">
        <v>0</v>
      </c>
      <c r="Z325" s="1086">
        <v>0</v>
      </c>
      <c r="AA325" s="1086">
        <v>538000</v>
      </c>
      <c r="AB325" s="1086">
        <v>0</v>
      </c>
      <c r="AC325" s="1086">
        <v>426264.78</v>
      </c>
      <c r="AD325" s="1086" t="s">
        <v>248</v>
      </c>
      <c r="AE325" s="1086" t="s">
        <v>3877</v>
      </c>
      <c r="AF325" s="1086">
        <f t="shared" si="17"/>
        <v>426264.78</v>
      </c>
      <c r="AG325" s="1086">
        <f t="shared" si="20"/>
        <v>0</v>
      </c>
      <c r="AQ325" s="1086">
        <v>0</v>
      </c>
      <c r="AR325" s="1086">
        <v>0</v>
      </c>
      <c r="AS325" s="1086">
        <v>426264.78</v>
      </c>
      <c r="AT325" s="1086">
        <f t="shared" si="18"/>
        <v>0</v>
      </c>
      <c r="AV325" s="1150">
        <f t="shared" si="19"/>
        <v>2032339.3800000001</v>
      </c>
    </row>
    <row r="326" spans="1:48" x14ac:dyDescent="0.2">
      <c r="A326" s="19">
        <v>327</v>
      </c>
      <c r="B326" t="s">
        <v>1626</v>
      </c>
      <c r="C326" t="s">
        <v>1290</v>
      </c>
      <c r="D326" t="s">
        <v>1056</v>
      </c>
      <c r="E326" t="s">
        <v>2213</v>
      </c>
      <c r="F326" t="s">
        <v>2408</v>
      </c>
      <c r="G326" t="s">
        <v>1256</v>
      </c>
      <c r="H326" t="s">
        <v>3827</v>
      </c>
      <c r="I326" t="s">
        <v>3839</v>
      </c>
      <c r="J326" t="s">
        <v>3544</v>
      </c>
      <c r="K326" t="s">
        <v>3547</v>
      </c>
      <c r="L326" t="s">
        <v>2795</v>
      </c>
      <c r="M326" s="1086">
        <v>645197.71</v>
      </c>
      <c r="N326" s="1086">
        <v>43383.5</v>
      </c>
      <c r="O326" s="1086">
        <v>650000</v>
      </c>
      <c r="P326" s="1086">
        <v>0</v>
      </c>
      <c r="Q326" s="1086">
        <v>0</v>
      </c>
      <c r="R326" s="1086">
        <v>0</v>
      </c>
      <c r="S326" s="1086">
        <v>0</v>
      </c>
      <c r="T326" s="1086">
        <v>0</v>
      </c>
      <c r="U326" s="1086">
        <v>860032.58</v>
      </c>
      <c r="V326" s="1086">
        <v>0</v>
      </c>
      <c r="W326" s="1086">
        <v>0</v>
      </c>
      <c r="X326" s="1086">
        <v>0</v>
      </c>
      <c r="Y326" s="1086">
        <v>0</v>
      </c>
      <c r="Z326" s="1086">
        <v>0</v>
      </c>
      <c r="AA326" s="1086">
        <v>1619.47</v>
      </c>
      <c r="AB326" s="1086">
        <v>0</v>
      </c>
      <c r="AC326" s="1086">
        <v>476929.16</v>
      </c>
      <c r="AD326" s="1086" t="s">
        <v>248</v>
      </c>
      <c r="AE326" s="1086" t="s">
        <v>3877</v>
      </c>
      <c r="AF326" s="1086">
        <f t="shared" si="17"/>
        <v>476929.16000000003</v>
      </c>
      <c r="AG326" s="1086">
        <f t="shared" si="20"/>
        <v>0</v>
      </c>
      <c r="AQ326" s="1086">
        <v>0</v>
      </c>
      <c r="AR326" s="1086">
        <v>0</v>
      </c>
      <c r="AS326" s="1086">
        <v>476929.16</v>
      </c>
      <c r="AT326" s="1086">
        <f t="shared" si="18"/>
        <v>0</v>
      </c>
      <c r="AV326" s="1150">
        <f t="shared" si="19"/>
        <v>861652.04999999993</v>
      </c>
    </row>
    <row r="327" spans="1:48" x14ac:dyDescent="0.2">
      <c r="A327" s="19">
        <v>328</v>
      </c>
      <c r="B327" t="s">
        <v>1627</v>
      </c>
      <c r="C327" t="s">
        <v>1290</v>
      </c>
      <c r="D327" s="167" t="s">
        <v>1059</v>
      </c>
      <c r="E327" t="s">
        <v>2214</v>
      </c>
      <c r="F327" t="s">
        <v>2409</v>
      </c>
      <c r="G327" t="s">
        <v>3832</v>
      </c>
      <c r="H327" t="s">
        <v>3822</v>
      </c>
      <c r="I327">
        <v>0</v>
      </c>
      <c r="L327" t="s">
        <v>2796</v>
      </c>
      <c r="M327" s="1086">
        <v>418706.47</v>
      </c>
      <c r="N327" s="1086">
        <v>54425.04</v>
      </c>
      <c r="O327" s="1086">
        <v>250</v>
      </c>
      <c r="P327" s="1086">
        <v>29341.02</v>
      </c>
      <c r="Q327" s="1086">
        <v>0</v>
      </c>
      <c r="R327" s="1086">
        <v>0</v>
      </c>
      <c r="S327" s="1086">
        <v>0</v>
      </c>
      <c r="T327" s="1086">
        <v>5023.34</v>
      </c>
      <c r="U327" s="1086">
        <v>10669.6</v>
      </c>
      <c r="V327" s="1086">
        <v>0</v>
      </c>
      <c r="W327" s="1086">
        <v>0</v>
      </c>
      <c r="X327" s="1086">
        <v>0</v>
      </c>
      <c r="Y327" s="1086">
        <v>0</v>
      </c>
      <c r="Z327" s="1086">
        <v>0</v>
      </c>
      <c r="AA327" s="1086">
        <v>155156.79999999999</v>
      </c>
      <c r="AB327" s="1086">
        <v>0</v>
      </c>
      <c r="AC327" s="1086">
        <v>273190.75</v>
      </c>
      <c r="AD327" s="1103" t="s">
        <v>1253</v>
      </c>
      <c r="AE327" s="1086" t="s">
        <v>3881</v>
      </c>
      <c r="AF327" s="1086">
        <f t="shared" si="17"/>
        <v>273190.75</v>
      </c>
      <c r="AG327" s="1086">
        <f t="shared" si="20"/>
        <v>0</v>
      </c>
      <c r="AQ327" s="1086">
        <v>0</v>
      </c>
      <c r="AR327" s="1086">
        <v>0</v>
      </c>
      <c r="AS327" s="1086">
        <v>273190.75</v>
      </c>
      <c r="AT327" s="1086">
        <f t="shared" si="18"/>
        <v>0</v>
      </c>
      <c r="AV327" s="1150">
        <f t="shared" si="19"/>
        <v>200190.75999999998</v>
      </c>
    </row>
    <row r="328" spans="1:48" x14ac:dyDescent="0.2">
      <c r="A328" s="19">
        <v>329</v>
      </c>
      <c r="B328" t="s">
        <v>1628</v>
      </c>
      <c r="C328" t="s">
        <v>1290</v>
      </c>
      <c r="D328" s="167" t="s">
        <v>1059</v>
      </c>
      <c r="E328" t="s">
        <v>2214</v>
      </c>
      <c r="F328" t="s">
        <v>2409</v>
      </c>
      <c r="G328" t="s">
        <v>3832</v>
      </c>
      <c r="H328" t="s">
        <v>3825</v>
      </c>
      <c r="I328">
        <v>0</v>
      </c>
      <c r="L328" t="s">
        <v>2797</v>
      </c>
      <c r="M328" s="1086">
        <v>65314.82</v>
      </c>
      <c r="N328" s="1086">
        <v>33548.5</v>
      </c>
      <c r="O328" s="1086">
        <v>0</v>
      </c>
      <c r="P328" s="1086">
        <v>0</v>
      </c>
      <c r="Q328" s="1086">
        <v>0</v>
      </c>
      <c r="R328" s="1086">
        <v>0</v>
      </c>
      <c r="S328" s="1086">
        <v>2959.2</v>
      </c>
      <c r="T328" s="1086">
        <v>52.94</v>
      </c>
      <c r="U328" s="1086">
        <v>5207.78</v>
      </c>
      <c r="V328" s="1086">
        <v>0</v>
      </c>
      <c r="W328" s="1086">
        <v>0</v>
      </c>
      <c r="X328" s="1086">
        <v>0</v>
      </c>
      <c r="Y328" s="1086">
        <v>0</v>
      </c>
      <c r="Z328" s="1086">
        <v>0</v>
      </c>
      <c r="AA328" s="1086">
        <v>1215.1099999999999</v>
      </c>
      <c r="AB328" s="1086">
        <v>0</v>
      </c>
      <c r="AC328" s="1086">
        <v>89428.29</v>
      </c>
      <c r="AD328" s="1103" t="s">
        <v>1253</v>
      </c>
      <c r="AE328" s="1086" t="s">
        <v>3881</v>
      </c>
      <c r="AF328" s="1086">
        <f t="shared" ref="AF328:AF391" si="21">M328+N328+O328-(SUM(P328:AB328))-AQ328-AR328</f>
        <v>89428.290000000008</v>
      </c>
      <c r="AG328" s="1086">
        <f t="shared" si="20"/>
        <v>0</v>
      </c>
      <c r="AQ328" s="1086">
        <v>0</v>
      </c>
      <c r="AR328" s="1086">
        <v>0</v>
      </c>
      <c r="AS328" s="1086">
        <v>89428.29</v>
      </c>
      <c r="AT328" s="1086">
        <f t="shared" ref="AT328:AT391" si="22">AC328-AS328</f>
        <v>0</v>
      </c>
      <c r="AV328" s="1150">
        <f t="shared" si="19"/>
        <v>9435.0300000000007</v>
      </c>
    </row>
    <row r="329" spans="1:48" x14ac:dyDescent="0.2">
      <c r="A329" s="19">
        <v>330</v>
      </c>
      <c r="B329" t="s">
        <v>1629</v>
      </c>
      <c r="C329" t="s">
        <v>1290</v>
      </c>
      <c r="D329" t="s">
        <v>1044</v>
      </c>
      <c r="E329" t="s">
        <v>2214</v>
      </c>
      <c r="F329" t="s">
        <v>2409</v>
      </c>
      <c r="G329" t="s">
        <v>3832</v>
      </c>
      <c r="H329" t="s">
        <v>3822</v>
      </c>
      <c r="I329" t="s">
        <v>3839</v>
      </c>
      <c r="J329" t="s">
        <v>3257</v>
      </c>
      <c r="K329" t="s">
        <v>3548</v>
      </c>
      <c r="L329" t="s">
        <v>2798</v>
      </c>
      <c r="M329" s="1086">
        <v>0</v>
      </c>
      <c r="N329" s="1086">
        <v>0</v>
      </c>
      <c r="O329" s="1086">
        <v>0</v>
      </c>
      <c r="P329" s="1086">
        <v>0</v>
      </c>
      <c r="Q329" s="1086">
        <v>0</v>
      </c>
      <c r="R329" s="1086">
        <v>0</v>
      </c>
      <c r="S329" s="1086">
        <v>0</v>
      </c>
      <c r="T329" s="1086">
        <v>0</v>
      </c>
      <c r="U329" s="1086">
        <v>0</v>
      </c>
      <c r="V329" s="1086">
        <v>0</v>
      </c>
      <c r="W329" s="1086">
        <v>0</v>
      </c>
      <c r="X329" s="1086">
        <v>0</v>
      </c>
      <c r="Y329" s="1086">
        <v>0</v>
      </c>
      <c r="Z329" s="1086">
        <v>0</v>
      </c>
      <c r="AA329" s="1086">
        <v>0</v>
      </c>
      <c r="AB329" s="1086">
        <v>0</v>
      </c>
      <c r="AC329" s="1086">
        <v>0</v>
      </c>
      <c r="AD329" s="1103" t="s">
        <v>1253</v>
      </c>
      <c r="AE329" s="1086" t="s">
        <v>3877</v>
      </c>
      <c r="AF329" s="1086">
        <f t="shared" si="21"/>
        <v>0</v>
      </c>
      <c r="AG329" s="1086">
        <f t="shared" si="20"/>
        <v>0</v>
      </c>
      <c r="AQ329" s="1086">
        <v>0</v>
      </c>
      <c r="AR329" s="1086">
        <v>0</v>
      </c>
      <c r="AS329" s="1086">
        <v>0</v>
      </c>
      <c r="AT329" s="1086">
        <f t="shared" si="22"/>
        <v>0</v>
      </c>
      <c r="AV329" s="1150">
        <f t="shared" ref="AV329:AV392" si="23">SUM(P329:AB329)+AQ329+AR329</f>
        <v>0</v>
      </c>
    </row>
    <row r="330" spans="1:48" x14ac:dyDescent="0.2">
      <c r="A330" s="19">
        <v>331</v>
      </c>
      <c r="B330" t="s">
        <v>1630</v>
      </c>
      <c r="C330" t="s">
        <v>1290</v>
      </c>
      <c r="D330" t="s">
        <v>1059</v>
      </c>
      <c r="E330" t="s">
        <v>2215</v>
      </c>
      <c r="F330" t="s">
        <v>2410</v>
      </c>
      <c r="G330" t="s">
        <v>1250</v>
      </c>
      <c r="H330" t="s">
        <v>3825</v>
      </c>
      <c r="I330" t="s">
        <v>3839</v>
      </c>
      <c r="J330" t="s">
        <v>3257</v>
      </c>
      <c r="K330" t="s">
        <v>3549</v>
      </c>
      <c r="L330" t="s">
        <v>2799</v>
      </c>
      <c r="M330" s="1086">
        <v>76511.850000000006</v>
      </c>
      <c r="N330" s="1086">
        <v>0</v>
      </c>
      <c r="O330" s="1086">
        <v>30756.01</v>
      </c>
      <c r="P330" s="1086">
        <v>16416.7</v>
      </c>
      <c r="Q330" s="1086">
        <v>0</v>
      </c>
      <c r="R330" s="1086">
        <v>0</v>
      </c>
      <c r="S330" s="1086">
        <v>6272.1</v>
      </c>
      <c r="T330" s="1086">
        <v>2555.85</v>
      </c>
      <c r="U330" s="1086">
        <v>13650.09</v>
      </c>
      <c r="V330" s="1086">
        <v>0</v>
      </c>
      <c r="W330" s="1086">
        <v>587.67999999999995</v>
      </c>
      <c r="X330" s="1086">
        <v>17204.02</v>
      </c>
      <c r="Y330" s="1086">
        <v>0</v>
      </c>
      <c r="Z330" s="1086">
        <v>0</v>
      </c>
      <c r="AA330" s="1086">
        <v>1970.8</v>
      </c>
      <c r="AB330" s="1086">
        <v>0</v>
      </c>
      <c r="AC330" s="1086">
        <v>48610.62</v>
      </c>
      <c r="AD330" s="1086" t="s">
        <v>248</v>
      </c>
      <c r="AE330" s="1086" t="s">
        <v>3877</v>
      </c>
      <c r="AF330" s="1086">
        <f t="shared" si="21"/>
        <v>48610.619999999995</v>
      </c>
      <c r="AG330" s="1086">
        <f t="shared" si="20"/>
        <v>0</v>
      </c>
      <c r="AQ330" s="1086">
        <v>0</v>
      </c>
      <c r="AR330" s="1086">
        <v>0</v>
      </c>
      <c r="AS330" s="1086">
        <v>48610.62</v>
      </c>
      <c r="AT330" s="1086">
        <f t="shared" si="22"/>
        <v>0</v>
      </c>
      <c r="AV330" s="1150">
        <f t="shared" si="23"/>
        <v>58657.240000000005</v>
      </c>
    </row>
    <row r="331" spans="1:48" x14ac:dyDescent="0.2">
      <c r="A331" s="19">
        <v>332</v>
      </c>
      <c r="B331" t="s">
        <v>1631</v>
      </c>
      <c r="C331" t="s">
        <v>1290</v>
      </c>
      <c r="D331" t="s">
        <v>1044</v>
      </c>
      <c r="E331" t="s">
        <v>2216</v>
      </c>
      <c r="F331" t="s">
        <v>2411</v>
      </c>
      <c r="G331" t="s">
        <v>1250</v>
      </c>
      <c r="H331" t="s">
        <v>3827</v>
      </c>
      <c r="I331" t="s">
        <v>3839</v>
      </c>
      <c r="J331" t="s">
        <v>3550</v>
      </c>
      <c r="K331" t="s">
        <v>3551</v>
      </c>
      <c r="L331" t="s">
        <v>2800</v>
      </c>
      <c r="M331" s="1086">
        <v>13133.72</v>
      </c>
      <c r="N331" s="1086">
        <v>0</v>
      </c>
      <c r="O331" s="1086">
        <v>7000</v>
      </c>
      <c r="P331" s="1086">
        <v>0</v>
      </c>
      <c r="Q331" s="1086">
        <v>0</v>
      </c>
      <c r="R331" s="1086">
        <v>0</v>
      </c>
      <c r="S331" s="1086">
        <v>0</v>
      </c>
      <c r="T331" s="1086">
        <v>0</v>
      </c>
      <c r="U331" s="1086">
        <v>11611.43</v>
      </c>
      <c r="V331" s="1086">
        <v>0</v>
      </c>
      <c r="W331" s="1086">
        <v>0</v>
      </c>
      <c r="X331" s="1086">
        <v>932.92</v>
      </c>
      <c r="Y331" s="1086">
        <v>0</v>
      </c>
      <c r="Z331" s="1086">
        <v>0</v>
      </c>
      <c r="AA331" s="1086">
        <v>95</v>
      </c>
      <c r="AB331" s="1086">
        <v>0</v>
      </c>
      <c r="AC331" s="1086">
        <v>7494.37</v>
      </c>
      <c r="AD331" s="1086" t="s">
        <v>248</v>
      </c>
      <c r="AE331" s="1086" t="s">
        <v>3877</v>
      </c>
      <c r="AF331" s="1086">
        <f t="shared" si="21"/>
        <v>7494.3700000000008</v>
      </c>
      <c r="AG331" s="1086">
        <f t="shared" si="20"/>
        <v>0</v>
      </c>
      <c r="AQ331" s="1086">
        <v>0</v>
      </c>
      <c r="AR331" s="1086">
        <v>0</v>
      </c>
      <c r="AS331" s="1086">
        <v>7494.37</v>
      </c>
      <c r="AT331" s="1086">
        <f t="shared" si="22"/>
        <v>0</v>
      </c>
      <c r="AV331" s="1150">
        <f t="shared" si="23"/>
        <v>12639.35</v>
      </c>
    </row>
    <row r="332" spans="1:48" x14ac:dyDescent="0.2">
      <c r="A332" s="19">
        <v>333</v>
      </c>
      <c r="B332" t="s">
        <v>1632</v>
      </c>
      <c r="C332" t="s">
        <v>1290</v>
      </c>
      <c r="D332" t="s">
        <v>1026</v>
      </c>
      <c r="E332" t="s">
        <v>2217</v>
      </c>
      <c r="F332" t="s">
        <v>2412</v>
      </c>
      <c r="G332" t="s">
        <v>1250</v>
      </c>
      <c r="H332" t="s">
        <v>3822</v>
      </c>
      <c r="I332" t="s">
        <v>3839</v>
      </c>
      <c r="J332" t="s">
        <v>3357</v>
      </c>
      <c r="K332" t="s">
        <v>3552</v>
      </c>
      <c r="L332" t="s">
        <v>2801</v>
      </c>
      <c r="M332" s="1086">
        <v>128773.17</v>
      </c>
      <c r="N332" s="1086">
        <v>69027.73</v>
      </c>
      <c r="O332" s="1086">
        <v>0</v>
      </c>
      <c r="P332" s="1086">
        <v>1412.19</v>
      </c>
      <c r="Q332" s="1086">
        <v>0</v>
      </c>
      <c r="R332" s="1086">
        <v>0</v>
      </c>
      <c r="S332" s="1086">
        <v>17341.259999999998</v>
      </c>
      <c r="T332" s="1086">
        <v>1174.31</v>
      </c>
      <c r="U332" s="1086">
        <v>27931.38</v>
      </c>
      <c r="V332" s="1086">
        <v>5676.58</v>
      </c>
      <c r="W332" s="1086">
        <v>8197.2800000000007</v>
      </c>
      <c r="X332" s="1086">
        <v>0</v>
      </c>
      <c r="Y332" s="1086">
        <v>0</v>
      </c>
      <c r="Z332" s="1086">
        <v>0</v>
      </c>
      <c r="AA332" s="1086">
        <v>86068.37</v>
      </c>
      <c r="AB332" s="1086">
        <v>0</v>
      </c>
      <c r="AC332" s="1086">
        <v>49999.53</v>
      </c>
      <c r="AD332" s="1086" t="s">
        <v>248</v>
      </c>
      <c r="AE332" s="1086" t="s">
        <v>3877</v>
      </c>
      <c r="AF332" s="1086">
        <f t="shared" si="21"/>
        <v>49999.53</v>
      </c>
      <c r="AG332" s="1086">
        <f t="shared" si="20"/>
        <v>0</v>
      </c>
      <c r="AQ332" s="1086">
        <v>0</v>
      </c>
      <c r="AR332" s="1086">
        <v>0</v>
      </c>
      <c r="AS332" s="1086">
        <v>49999.53</v>
      </c>
      <c r="AT332" s="1086">
        <f t="shared" si="22"/>
        <v>0</v>
      </c>
      <c r="AV332" s="1150">
        <f t="shared" si="23"/>
        <v>147801.37</v>
      </c>
    </row>
    <row r="333" spans="1:48" x14ac:dyDescent="0.2">
      <c r="A333" s="19">
        <v>334</v>
      </c>
      <c r="B333" t="s">
        <v>1633</v>
      </c>
      <c r="C333" t="s">
        <v>1290</v>
      </c>
      <c r="D333" t="s">
        <v>1034</v>
      </c>
      <c r="E333" t="s">
        <v>2218</v>
      </c>
      <c r="F333" t="s">
        <v>2413</v>
      </c>
      <c r="G333" t="s">
        <v>3833</v>
      </c>
      <c r="H333" t="s">
        <v>3829</v>
      </c>
      <c r="I333" t="s">
        <v>3839</v>
      </c>
      <c r="J333" t="s">
        <v>3463</v>
      </c>
      <c r="K333" t="s">
        <v>3553</v>
      </c>
      <c r="L333" t="s">
        <v>2802</v>
      </c>
      <c r="M333" s="1086">
        <v>304020.13</v>
      </c>
      <c r="N333" s="1086">
        <v>158528.12</v>
      </c>
      <c r="O333" s="1086">
        <v>1270000</v>
      </c>
      <c r="P333" s="1086">
        <v>0</v>
      </c>
      <c r="Q333" s="1086">
        <v>0</v>
      </c>
      <c r="R333" s="1086">
        <v>0</v>
      </c>
      <c r="S333" s="1086">
        <v>0</v>
      </c>
      <c r="T333" s="1086">
        <v>0</v>
      </c>
      <c r="U333" s="1086">
        <v>0</v>
      </c>
      <c r="V333" s="1086">
        <v>5000</v>
      </c>
      <c r="W333" s="1086">
        <v>0</v>
      </c>
      <c r="X333" s="1086">
        <v>0</v>
      </c>
      <c r="Y333" s="1086">
        <v>0</v>
      </c>
      <c r="Z333" s="1086">
        <v>1706160</v>
      </c>
      <c r="AA333" s="1086">
        <v>0</v>
      </c>
      <c r="AB333" s="1086">
        <v>0</v>
      </c>
      <c r="AC333" s="1086">
        <v>21388.25</v>
      </c>
      <c r="AD333" s="1103" t="s">
        <v>1251</v>
      </c>
      <c r="AE333" s="1086" t="s">
        <v>3880</v>
      </c>
      <c r="AF333" s="1086">
        <f t="shared" si="21"/>
        <v>21388.25</v>
      </c>
      <c r="AG333" s="1086">
        <f t="shared" si="20"/>
        <v>0</v>
      </c>
      <c r="AQ333" s="1086">
        <v>0</v>
      </c>
      <c r="AR333" s="1086">
        <v>0</v>
      </c>
      <c r="AS333" s="1086">
        <v>21388.25</v>
      </c>
      <c r="AT333" s="1086">
        <f t="shared" si="22"/>
        <v>0</v>
      </c>
      <c r="AV333" s="1150">
        <f t="shared" si="23"/>
        <v>1711160</v>
      </c>
    </row>
    <row r="334" spans="1:48" x14ac:dyDescent="0.2">
      <c r="A334" s="19">
        <v>335</v>
      </c>
      <c r="B334" t="s">
        <v>1634</v>
      </c>
      <c r="C334" t="s">
        <v>1290</v>
      </c>
      <c r="D334" t="s">
        <v>1049</v>
      </c>
      <c r="E334" t="s">
        <v>2219</v>
      </c>
      <c r="F334" t="s">
        <v>2414</v>
      </c>
      <c r="G334" t="s">
        <v>1250</v>
      </c>
      <c r="H334" t="s">
        <v>3822</v>
      </c>
      <c r="I334" t="s">
        <v>3251</v>
      </c>
      <c r="J334" t="s">
        <v>3251</v>
      </c>
      <c r="K334" t="s">
        <v>3251</v>
      </c>
      <c r="L334" t="s">
        <v>2803</v>
      </c>
      <c r="M334" s="1086">
        <v>0</v>
      </c>
      <c r="N334" s="1086">
        <v>182585.45</v>
      </c>
      <c r="O334" s="1086">
        <v>0</v>
      </c>
      <c r="P334" s="1086">
        <v>0</v>
      </c>
      <c r="Q334" s="1086">
        <v>0</v>
      </c>
      <c r="R334" s="1086">
        <v>0</v>
      </c>
      <c r="S334" s="1086">
        <v>0</v>
      </c>
      <c r="T334" s="1086">
        <v>0</v>
      </c>
      <c r="U334" s="1086">
        <v>0</v>
      </c>
      <c r="V334" s="1086">
        <v>0</v>
      </c>
      <c r="W334" s="1086">
        <v>0</v>
      </c>
      <c r="X334" s="1086">
        <v>0</v>
      </c>
      <c r="Y334" s="1086">
        <v>0</v>
      </c>
      <c r="Z334" s="1086">
        <v>0</v>
      </c>
      <c r="AA334" s="1086">
        <v>0</v>
      </c>
      <c r="AB334" s="1086">
        <v>0</v>
      </c>
      <c r="AC334" s="1086">
        <v>182585.45</v>
      </c>
      <c r="AD334" s="1086" t="s">
        <v>248</v>
      </c>
      <c r="AE334" s="1086" t="s">
        <v>3877</v>
      </c>
      <c r="AF334" s="1086">
        <f t="shared" si="21"/>
        <v>182585.45</v>
      </c>
      <c r="AG334" s="1086">
        <f t="shared" si="20"/>
        <v>0</v>
      </c>
      <c r="AQ334" s="1086">
        <v>0</v>
      </c>
      <c r="AR334" s="1086">
        <v>0</v>
      </c>
      <c r="AS334" s="1086">
        <v>182585.45</v>
      </c>
      <c r="AT334" s="1086">
        <f t="shared" si="22"/>
        <v>0</v>
      </c>
      <c r="AV334" s="1150">
        <f t="shared" si="23"/>
        <v>0</v>
      </c>
    </row>
    <row r="335" spans="1:48" x14ac:dyDescent="0.2">
      <c r="A335" s="19">
        <v>336</v>
      </c>
      <c r="B335" t="s">
        <v>1635</v>
      </c>
      <c r="C335" t="s">
        <v>1290</v>
      </c>
      <c r="D335" t="s">
        <v>1005</v>
      </c>
      <c r="E335" t="s">
        <v>2220</v>
      </c>
      <c r="F335" t="s">
        <v>2415</v>
      </c>
      <c r="G335" t="s">
        <v>1250</v>
      </c>
      <c r="H335" t="s">
        <v>3825</v>
      </c>
      <c r="I335" t="s">
        <v>3839</v>
      </c>
      <c r="J335" t="s">
        <v>3355</v>
      </c>
      <c r="K335" t="s">
        <v>3554</v>
      </c>
      <c r="L335" t="s">
        <v>2804</v>
      </c>
      <c r="M335" s="1086">
        <v>72550.960000000006</v>
      </c>
      <c r="N335" s="1086">
        <v>29545.85</v>
      </c>
      <c r="O335" s="1086">
        <v>0</v>
      </c>
      <c r="P335" s="1086">
        <v>0</v>
      </c>
      <c r="Q335" s="1086">
        <v>0</v>
      </c>
      <c r="R335" s="1086">
        <v>0</v>
      </c>
      <c r="S335" s="1086">
        <v>0</v>
      </c>
      <c r="T335" s="1086">
        <v>0</v>
      </c>
      <c r="U335" s="1086">
        <v>73097.95</v>
      </c>
      <c r="V335" s="1086">
        <v>0</v>
      </c>
      <c r="W335" s="1086">
        <v>0</v>
      </c>
      <c r="X335" s="1086">
        <v>3751.85</v>
      </c>
      <c r="Y335" s="1086">
        <v>-24220</v>
      </c>
      <c r="Z335" s="1086">
        <v>0</v>
      </c>
      <c r="AA335" s="1086">
        <v>884.3</v>
      </c>
      <c r="AB335" s="1086">
        <v>0</v>
      </c>
      <c r="AC335" s="1086">
        <v>48582.71</v>
      </c>
      <c r="AD335" s="1086" t="s">
        <v>248</v>
      </c>
      <c r="AE335" s="1086" t="s">
        <v>3877</v>
      </c>
      <c r="AF335" s="1086">
        <f t="shared" si="21"/>
        <v>48582.709999999992</v>
      </c>
      <c r="AG335" s="1086">
        <f t="shared" si="20"/>
        <v>0</v>
      </c>
      <c r="AQ335" s="1086">
        <v>0</v>
      </c>
      <c r="AR335" s="1086">
        <v>0</v>
      </c>
      <c r="AS335" s="1086">
        <v>48582.71</v>
      </c>
      <c r="AT335" s="1086">
        <f t="shared" si="22"/>
        <v>0</v>
      </c>
      <c r="AV335" s="1150">
        <f t="shared" si="23"/>
        <v>53514.100000000006</v>
      </c>
    </row>
    <row r="336" spans="1:48" x14ac:dyDescent="0.2">
      <c r="A336" s="19">
        <v>337</v>
      </c>
      <c r="B336" t="s">
        <v>1636</v>
      </c>
      <c r="C336" t="s">
        <v>1290</v>
      </c>
      <c r="D336" t="s">
        <v>1005</v>
      </c>
      <c r="E336" t="s">
        <v>2220</v>
      </c>
      <c r="F336" t="s">
        <v>2415</v>
      </c>
      <c r="G336" t="s">
        <v>1250</v>
      </c>
      <c r="H336" t="s">
        <v>3823</v>
      </c>
      <c r="I336" t="s">
        <v>3839</v>
      </c>
      <c r="J336" t="s">
        <v>3355</v>
      </c>
      <c r="K336" t="s">
        <v>3555</v>
      </c>
      <c r="L336" t="s">
        <v>2805</v>
      </c>
      <c r="M336" s="1086">
        <v>45578.11</v>
      </c>
      <c r="N336" s="1086">
        <v>0</v>
      </c>
      <c r="O336" s="1086">
        <v>0</v>
      </c>
      <c r="P336" s="1086">
        <v>17762.53</v>
      </c>
      <c r="Q336" s="1086">
        <v>0</v>
      </c>
      <c r="R336" s="1086">
        <v>0</v>
      </c>
      <c r="S336" s="1086">
        <v>661</v>
      </c>
      <c r="T336" s="1086">
        <v>2472.7600000000002</v>
      </c>
      <c r="U336" s="1086">
        <v>12801.58</v>
      </c>
      <c r="V336" s="1086">
        <v>0</v>
      </c>
      <c r="W336" s="1086">
        <v>0</v>
      </c>
      <c r="X336" s="1086">
        <v>1125.1199999999999</v>
      </c>
      <c r="Y336" s="1086">
        <v>-31959</v>
      </c>
      <c r="Z336" s="1086">
        <v>0</v>
      </c>
      <c r="AA336" s="1086">
        <v>0</v>
      </c>
      <c r="AB336" s="1086">
        <v>0</v>
      </c>
      <c r="AC336" s="1086">
        <v>42714.12</v>
      </c>
      <c r="AD336" s="1086" t="s">
        <v>248</v>
      </c>
      <c r="AE336" s="1086" t="s">
        <v>3877</v>
      </c>
      <c r="AF336" s="1086">
        <f t="shared" si="21"/>
        <v>42714.119999999995</v>
      </c>
      <c r="AG336" s="1086">
        <f t="shared" si="20"/>
        <v>0</v>
      </c>
      <c r="AQ336" s="1086">
        <v>0</v>
      </c>
      <c r="AR336" s="1086">
        <v>0</v>
      </c>
      <c r="AS336" s="1086">
        <v>42714.12</v>
      </c>
      <c r="AT336" s="1086">
        <f t="shared" si="22"/>
        <v>0</v>
      </c>
      <c r="AV336" s="1150">
        <f t="shared" si="23"/>
        <v>2863.9900000000052</v>
      </c>
    </row>
    <row r="337" spans="1:48" x14ac:dyDescent="0.2">
      <c r="A337" s="19">
        <v>338</v>
      </c>
      <c r="B337" t="s">
        <v>1637</v>
      </c>
      <c r="C337" t="s">
        <v>1290</v>
      </c>
      <c r="D337" t="s">
        <v>1005</v>
      </c>
      <c r="E337" t="s">
        <v>2220</v>
      </c>
      <c r="F337" t="s">
        <v>2415</v>
      </c>
      <c r="G337" t="s">
        <v>1250</v>
      </c>
      <c r="H337" t="s">
        <v>3825</v>
      </c>
      <c r="I337" t="s">
        <v>3839</v>
      </c>
      <c r="J337" t="s">
        <v>3355</v>
      </c>
      <c r="K337" t="s">
        <v>3556</v>
      </c>
      <c r="L337" t="s">
        <v>2806</v>
      </c>
      <c r="M337" s="1086">
        <v>71632.2</v>
      </c>
      <c r="N337" s="1086">
        <v>0</v>
      </c>
      <c r="O337" s="1086">
        <v>0</v>
      </c>
      <c r="P337" s="1086">
        <v>0</v>
      </c>
      <c r="Q337" s="1086">
        <v>0</v>
      </c>
      <c r="R337" s="1086">
        <v>0</v>
      </c>
      <c r="S337" s="1086">
        <v>0</v>
      </c>
      <c r="T337" s="1086">
        <v>0</v>
      </c>
      <c r="U337" s="1086">
        <v>60119.63</v>
      </c>
      <c r="V337" s="1086">
        <v>0</v>
      </c>
      <c r="W337" s="1086">
        <v>0</v>
      </c>
      <c r="X337" s="1086">
        <v>0</v>
      </c>
      <c r="Y337" s="1086">
        <v>-16125</v>
      </c>
      <c r="Z337" s="1086">
        <v>0</v>
      </c>
      <c r="AA337" s="1086">
        <v>0</v>
      </c>
      <c r="AB337" s="1086">
        <v>0</v>
      </c>
      <c r="AC337" s="1086">
        <v>27637.57</v>
      </c>
      <c r="AD337" s="1086" t="s">
        <v>248</v>
      </c>
      <c r="AE337" s="1086" t="s">
        <v>3877</v>
      </c>
      <c r="AF337" s="1086">
        <f t="shared" si="21"/>
        <v>27637.57</v>
      </c>
      <c r="AG337" s="1086">
        <f t="shared" si="20"/>
        <v>0</v>
      </c>
      <c r="AQ337" s="1086">
        <v>0</v>
      </c>
      <c r="AR337" s="1086">
        <v>0</v>
      </c>
      <c r="AS337" s="1086">
        <v>27637.57</v>
      </c>
      <c r="AT337" s="1086">
        <f t="shared" si="22"/>
        <v>0</v>
      </c>
      <c r="AV337" s="1150">
        <f t="shared" si="23"/>
        <v>43994.63</v>
      </c>
    </row>
    <row r="338" spans="1:48" x14ac:dyDescent="0.2">
      <c r="A338" s="19">
        <v>339</v>
      </c>
      <c r="B338" t="s">
        <v>1638</v>
      </c>
      <c r="C338" t="s">
        <v>1290</v>
      </c>
      <c r="D338" t="s">
        <v>1005</v>
      </c>
      <c r="E338" t="s">
        <v>2220</v>
      </c>
      <c r="F338" t="s">
        <v>2415</v>
      </c>
      <c r="G338" t="s">
        <v>1250</v>
      </c>
      <c r="H338" t="s">
        <v>3823</v>
      </c>
      <c r="I338" t="s">
        <v>3839</v>
      </c>
      <c r="J338" t="s">
        <v>3355</v>
      </c>
      <c r="K338" t="s">
        <v>3557</v>
      </c>
      <c r="L338" t="s">
        <v>2807</v>
      </c>
      <c r="M338" s="1086">
        <v>26581.43</v>
      </c>
      <c r="N338" s="1086">
        <v>0</v>
      </c>
      <c r="O338" s="1086">
        <v>0</v>
      </c>
      <c r="P338" s="1086">
        <v>6975.86</v>
      </c>
      <c r="Q338" s="1086">
        <v>0</v>
      </c>
      <c r="R338" s="1086">
        <v>0</v>
      </c>
      <c r="S338" s="1086">
        <v>719.6</v>
      </c>
      <c r="T338" s="1086">
        <v>1535.61</v>
      </c>
      <c r="U338" s="1086">
        <v>7036.34</v>
      </c>
      <c r="V338" s="1086">
        <v>0</v>
      </c>
      <c r="W338" s="1086">
        <v>0</v>
      </c>
      <c r="X338" s="1086">
        <v>2123.2399999999998</v>
      </c>
      <c r="Y338" s="1086">
        <v>0</v>
      </c>
      <c r="Z338" s="1086">
        <v>0</v>
      </c>
      <c r="AA338" s="1086">
        <v>0</v>
      </c>
      <c r="AB338" s="1086">
        <v>0</v>
      </c>
      <c r="AC338" s="1086">
        <v>8190.78</v>
      </c>
      <c r="AD338" s="1086" t="s">
        <v>248</v>
      </c>
      <c r="AE338" s="1086" t="s">
        <v>3877</v>
      </c>
      <c r="AF338" s="1086">
        <f t="shared" si="21"/>
        <v>8190.7799999999988</v>
      </c>
      <c r="AG338" s="1086">
        <f t="shared" si="20"/>
        <v>0</v>
      </c>
      <c r="AQ338" s="1086">
        <v>0</v>
      </c>
      <c r="AR338" s="1086">
        <v>0</v>
      </c>
      <c r="AS338" s="1086">
        <v>8190.78</v>
      </c>
      <c r="AT338" s="1086">
        <f t="shared" si="22"/>
        <v>0</v>
      </c>
      <c r="AV338" s="1150">
        <f t="shared" si="23"/>
        <v>18390.650000000001</v>
      </c>
    </row>
    <row r="339" spans="1:48" x14ac:dyDescent="0.2">
      <c r="A339" s="19">
        <v>340</v>
      </c>
      <c r="B339" t="s">
        <v>1639</v>
      </c>
      <c r="C339" t="s">
        <v>1290</v>
      </c>
      <c r="D339" t="s">
        <v>1005</v>
      </c>
      <c r="E339" t="s">
        <v>2220</v>
      </c>
      <c r="F339" t="s">
        <v>2415</v>
      </c>
      <c r="G339" t="s">
        <v>1250</v>
      </c>
      <c r="H339" t="s">
        <v>3823</v>
      </c>
      <c r="I339" t="s">
        <v>3839</v>
      </c>
      <c r="J339" t="s">
        <v>3355</v>
      </c>
      <c r="K339" t="s">
        <v>3558</v>
      </c>
      <c r="L339" t="s">
        <v>2808</v>
      </c>
      <c r="M339" s="1086">
        <v>131384.44</v>
      </c>
      <c r="N339" s="1086">
        <v>0</v>
      </c>
      <c r="O339" s="1086">
        <v>0</v>
      </c>
      <c r="P339" s="1086">
        <v>0</v>
      </c>
      <c r="Q339" s="1086">
        <v>0</v>
      </c>
      <c r="R339" s="1086">
        <v>0</v>
      </c>
      <c r="S339" s="1086">
        <v>2100</v>
      </c>
      <c r="T339" s="1086">
        <v>66.16</v>
      </c>
      <c r="U339" s="1086">
        <v>17134.59</v>
      </c>
      <c r="V339" s="1086">
        <v>0</v>
      </c>
      <c r="W339" s="1086">
        <v>0</v>
      </c>
      <c r="X339" s="1086">
        <v>2045.55</v>
      </c>
      <c r="Y339" s="1086">
        <v>0</v>
      </c>
      <c r="Z339" s="1086">
        <v>0</v>
      </c>
      <c r="AA339" s="1086">
        <v>86.89</v>
      </c>
      <c r="AB339" s="1086">
        <v>0</v>
      </c>
      <c r="AC339" s="1086">
        <v>109951.25</v>
      </c>
      <c r="AD339" s="1086" t="s">
        <v>248</v>
      </c>
      <c r="AE339" s="1086" t="s">
        <v>3877</v>
      </c>
      <c r="AF339" s="1086">
        <f t="shared" si="21"/>
        <v>109951.25</v>
      </c>
      <c r="AG339" s="1086">
        <f t="shared" si="20"/>
        <v>0</v>
      </c>
      <c r="AQ339" s="1086">
        <v>0</v>
      </c>
      <c r="AR339" s="1086">
        <v>0</v>
      </c>
      <c r="AS339" s="1086">
        <v>109951.25</v>
      </c>
      <c r="AT339" s="1086">
        <f t="shared" si="22"/>
        <v>0</v>
      </c>
      <c r="AV339" s="1150">
        <f t="shared" si="23"/>
        <v>21433.19</v>
      </c>
    </row>
    <row r="340" spans="1:48" x14ac:dyDescent="0.2">
      <c r="A340" s="19">
        <v>341</v>
      </c>
      <c r="B340" t="s">
        <v>1640</v>
      </c>
      <c r="C340" t="s">
        <v>1290</v>
      </c>
      <c r="D340" t="s">
        <v>1005</v>
      </c>
      <c r="E340" t="s">
        <v>2220</v>
      </c>
      <c r="F340" t="s">
        <v>2415</v>
      </c>
      <c r="G340" t="s">
        <v>1250</v>
      </c>
      <c r="H340" t="s">
        <v>3825</v>
      </c>
      <c r="I340" t="s">
        <v>3839</v>
      </c>
      <c r="J340" t="s">
        <v>3355</v>
      </c>
      <c r="K340" t="s">
        <v>3559</v>
      </c>
      <c r="L340" t="s">
        <v>2809</v>
      </c>
      <c r="M340" s="1086">
        <v>86240.35</v>
      </c>
      <c r="N340" s="1086">
        <v>26430</v>
      </c>
      <c r="O340" s="1086">
        <v>0</v>
      </c>
      <c r="P340" s="1086">
        <v>16608.62</v>
      </c>
      <c r="Q340" s="1086">
        <v>0</v>
      </c>
      <c r="R340" s="1086">
        <v>0</v>
      </c>
      <c r="S340" s="1086">
        <v>0</v>
      </c>
      <c r="T340" s="1086">
        <v>6294.98</v>
      </c>
      <c r="U340" s="1086">
        <v>28158.75</v>
      </c>
      <c r="V340" s="1086">
        <v>0</v>
      </c>
      <c r="W340" s="1086">
        <v>0</v>
      </c>
      <c r="X340" s="1086">
        <v>0</v>
      </c>
      <c r="Y340" s="1086">
        <v>-2000</v>
      </c>
      <c r="Z340" s="1086">
        <v>0</v>
      </c>
      <c r="AA340" s="1086">
        <v>496.48</v>
      </c>
      <c r="AB340" s="1086">
        <v>0</v>
      </c>
      <c r="AC340" s="1086">
        <v>63111.519999999997</v>
      </c>
      <c r="AD340" s="1086" t="s">
        <v>248</v>
      </c>
      <c r="AE340" s="1086" t="s">
        <v>3877</v>
      </c>
      <c r="AF340" s="1086">
        <f t="shared" si="21"/>
        <v>63111.520000000004</v>
      </c>
      <c r="AG340" s="1086">
        <f t="shared" si="20"/>
        <v>0</v>
      </c>
      <c r="AQ340" s="1086">
        <v>0</v>
      </c>
      <c r="AR340" s="1086">
        <v>0</v>
      </c>
      <c r="AS340" s="1086">
        <v>63111.519999999997</v>
      </c>
      <c r="AT340" s="1086">
        <f t="shared" si="22"/>
        <v>0</v>
      </c>
      <c r="AV340" s="1150">
        <f t="shared" si="23"/>
        <v>49558.83</v>
      </c>
    </row>
    <row r="341" spans="1:48" x14ac:dyDescent="0.2">
      <c r="A341" s="19">
        <v>342</v>
      </c>
      <c r="B341" t="s">
        <v>1641</v>
      </c>
      <c r="C341" t="s">
        <v>1290</v>
      </c>
      <c r="D341" t="s">
        <v>1005</v>
      </c>
      <c r="E341" t="s">
        <v>2220</v>
      </c>
      <c r="F341" t="s">
        <v>2415</v>
      </c>
      <c r="G341" t="s">
        <v>1250</v>
      </c>
      <c r="H341" t="s">
        <v>3823</v>
      </c>
      <c r="I341" t="s">
        <v>3839</v>
      </c>
      <c r="J341" t="s">
        <v>3355</v>
      </c>
      <c r="K341" t="s">
        <v>3560</v>
      </c>
      <c r="L341" t="s">
        <v>2810</v>
      </c>
      <c r="M341" s="1086">
        <v>155268.03</v>
      </c>
      <c r="N341" s="1086">
        <v>0</v>
      </c>
      <c r="O341" s="1086">
        <v>0</v>
      </c>
      <c r="P341" s="1086">
        <v>0</v>
      </c>
      <c r="Q341" s="1086">
        <v>0</v>
      </c>
      <c r="R341" s="1086">
        <v>0</v>
      </c>
      <c r="S341" s="1086">
        <v>264</v>
      </c>
      <c r="T341" s="1086">
        <v>450.79</v>
      </c>
      <c r="U341" s="1086">
        <v>13264.99</v>
      </c>
      <c r="V341" s="1086">
        <v>0</v>
      </c>
      <c r="W341" s="1086">
        <v>0</v>
      </c>
      <c r="X341" s="1086">
        <v>11460.95</v>
      </c>
      <c r="Y341" s="1086">
        <v>0</v>
      </c>
      <c r="Z341" s="1086">
        <v>0</v>
      </c>
      <c r="AA341" s="1086">
        <v>0</v>
      </c>
      <c r="AB341" s="1086">
        <v>0</v>
      </c>
      <c r="AC341" s="1086">
        <v>129827.3</v>
      </c>
      <c r="AD341" s="1086" t="s">
        <v>248</v>
      </c>
      <c r="AE341" s="1086" t="s">
        <v>3877</v>
      </c>
      <c r="AF341" s="1086">
        <f t="shared" si="21"/>
        <v>129827.3</v>
      </c>
      <c r="AG341" s="1086">
        <f t="shared" si="20"/>
        <v>0</v>
      </c>
      <c r="AQ341" s="1086">
        <v>0</v>
      </c>
      <c r="AR341" s="1086">
        <v>0</v>
      </c>
      <c r="AS341" s="1086">
        <v>129827.3</v>
      </c>
      <c r="AT341" s="1086">
        <f t="shared" si="22"/>
        <v>0</v>
      </c>
      <c r="AV341" s="1150">
        <f t="shared" si="23"/>
        <v>25440.73</v>
      </c>
    </row>
    <row r="342" spans="1:48" x14ac:dyDescent="0.2">
      <c r="A342" s="19">
        <v>343</v>
      </c>
      <c r="B342" t="s">
        <v>1642</v>
      </c>
      <c r="C342" t="s">
        <v>1290</v>
      </c>
      <c r="D342" t="s">
        <v>1005</v>
      </c>
      <c r="E342" t="s">
        <v>2220</v>
      </c>
      <c r="F342" t="s">
        <v>2415</v>
      </c>
      <c r="G342" t="s">
        <v>1250</v>
      </c>
      <c r="H342" t="s">
        <v>3823</v>
      </c>
      <c r="I342" t="s">
        <v>3839</v>
      </c>
      <c r="J342" t="s">
        <v>3355</v>
      </c>
      <c r="K342" t="s">
        <v>3561</v>
      </c>
      <c r="L342" t="s">
        <v>2811</v>
      </c>
      <c r="M342" s="1086">
        <v>90029.759999999995</v>
      </c>
      <c r="N342" s="1086">
        <v>0</v>
      </c>
      <c r="O342" s="1086">
        <v>80000</v>
      </c>
      <c r="P342" s="1086">
        <v>0</v>
      </c>
      <c r="Q342" s="1086">
        <v>4312.5</v>
      </c>
      <c r="R342" s="1086">
        <v>0</v>
      </c>
      <c r="S342" s="1086">
        <v>0</v>
      </c>
      <c r="T342" s="1086">
        <v>6499.5</v>
      </c>
      <c r="U342" s="1086">
        <v>18361.439999999999</v>
      </c>
      <c r="V342" s="1086">
        <v>0</v>
      </c>
      <c r="W342" s="1086">
        <v>0</v>
      </c>
      <c r="X342" s="1086">
        <v>21111.99</v>
      </c>
      <c r="Y342" s="1086">
        <v>0</v>
      </c>
      <c r="Z342" s="1086">
        <v>0</v>
      </c>
      <c r="AA342" s="1086">
        <v>0</v>
      </c>
      <c r="AB342" s="1086">
        <v>0</v>
      </c>
      <c r="AC342" s="1086">
        <v>119744.33</v>
      </c>
      <c r="AD342" s="1086" t="s">
        <v>248</v>
      </c>
      <c r="AE342" s="1086" t="s">
        <v>3877</v>
      </c>
      <c r="AF342" s="1086">
        <f t="shared" si="21"/>
        <v>119744.33000000002</v>
      </c>
      <c r="AG342" s="1086">
        <f t="shared" si="20"/>
        <v>0</v>
      </c>
      <c r="AQ342" s="1086">
        <v>0</v>
      </c>
      <c r="AR342" s="1086">
        <v>0</v>
      </c>
      <c r="AS342" s="1086">
        <v>119744.33</v>
      </c>
      <c r="AT342" s="1086">
        <f t="shared" si="22"/>
        <v>0</v>
      </c>
      <c r="AV342" s="1150">
        <f t="shared" si="23"/>
        <v>50285.43</v>
      </c>
    </row>
    <row r="343" spans="1:48" x14ac:dyDescent="0.2">
      <c r="A343" s="19">
        <v>344</v>
      </c>
      <c r="B343" t="s">
        <v>1643</v>
      </c>
      <c r="C343" t="s">
        <v>1290</v>
      </c>
      <c r="D343" t="s">
        <v>1005</v>
      </c>
      <c r="E343" t="s">
        <v>2220</v>
      </c>
      <c r="F343" t="s">
        <v>2415</v>
      </c>
      <c r="G343" t="s">
        <v>1250</v>
      </c>
      <c r="H343" t="s">
        <v>3823</v>
      </c>
      <c r="I343" t="s">
        <v>3251</v>
      </c>
      <c r="J343" t="s">
        <v>3251</v>
      </c>
      <c r="K343" t="s">
        <v>3251</v>
      </c>
      <c r="L343" t="s">
        <v>2812</v>
      </c>
      <c r="M343" s="1086">
        <v>0</v>
      </c>
      <c r="N343" s="1086">
        <v>500</v>
      </c>
      <c r="O343" s="1086">
        <v>0</v>
      </c>
      <c r="P343" s="1086">
        <v>0</v>
      </c>
      <c r="Q343" s="1086">
        <v>0</v>
      </c>
      <c r="R343" s="1086">
        <v>0</v>
      </c>
      <c r="S343" s="1086">
        <v>0</v>
      </c>
      <c r="T343" s="1086">
        <v>0</v>
      </c>
      <c r="U343" s="1086">
        <v>0</v>
      </c>
      <c r="V343" s="1086">
        <v>0</v>
      </c>
      <c r="W343" s="1086">
        <v>0</v>
      </c>
      <c r="X343" s="1086">
        <v>0</v>
      </c>
      <c r="Y343" s="1086">
        <v>0</v>
      </c>
      <c r="Z343" s="1086">
        <v>0</v>
      </c>
      <c r="AA343" s="1086">
        <v>17.5</v>
      </c>
      <c r="AB343" s="1086">
        <v>0</v>
      </c>
      <c r="AC343" s="1086">
        <v>482.5</v>
      </c>
      <c r="AD343" s="1086" t="s">
        <v>248</v>
      </c>
      <c r="AE343" s="1086" t="s">
        <v>3877</v>
      </c>
      <c r="AF343" s="1086">
        <f t="shared" si="21"/>
        <v>482.5</v>
      </c>
      <c r="AG343" s="1086">
        <f t="shared" si="20"/>
        <v>0</v>
      </c>
      <c r="AQ343" s="1086">
        <v>0</v>
      </c>
      <c r="AR343" s="1086">
        <v>0</v>
      </c>
      <c r="AS343" s="1086">
        <v>482.5</v>
      </c>
      <c r="AT343" s="1086">
        <f t="shared" si="22"/>
        <v>0</v>
      </c>
      <c r="AV343" s="1150">
        <f t="shared" si="23"/>
        <v>17.5</v>
      </c>
    </row>
    <row r="344" spans="1:48" x14ac:dyDescent="0.2">
      <c r="A344" s="19">
        <v>345</v>
      </c>
      <c r="B344" t="s">
        <v>1644</v>
      </c>
      <c r="C344" t="s">
        <v>1290</v>
      </c>
      <c r="D344" t="s">
        <v>1005</v>
      </c>
      <c r="E344" t="s">
        <v>2220</v>
      </c>
      <c r="F344" t="s">
        <v>2415</v>
      </c>
      <c r="G344" t="s">
        <v>1250</v>
      </c>
      <c r="H344" t="s">
        <v>3823</v>
      </c>
      <c r="I344" t="s">
        <v>3251</v>
      </c>
      <c r="J344" t="s">
        <v>3251</v>
      </c>
      <c r="K344" t="s">
        <v>3251</v>
      </c>
      <c r="L344" t="s">
        <v>2813</v>
      </c>
      <c r="M344" s="1086">
        <v>0</v>
      </c>
      <c r="N344" s="1086">
        <v>0</v>
      </c>
      <c r="O344" s="1086">
        <v>91668</v>
      </c>
      <c r="P344" s="1086">
        <v>12073.12</v>
      </c>
      <c r="Q344" s="1086">
        <v>0</v>
      </c>
      <c r="R344" s="1086">
        <v>0</v>
      </c>
      <c r="S344" s="1086">
        <v>1633.8</v>
      </c>
      <c r="T344" s="1086">
        <v>5203.8100000000004</v>
      </c>
      <c r="U344" s="1086">
        <v>15406.95</v>
      </c>
      <c r="V344" s="1086">
        <v>0</v>
      </c>
      <c r="W344" s="1086">
        <v>0</v>
      </c>
      <c r="X344" s="1086">
        <v>7357.98</v>
      </c>
      <c r="Y344" s="1086">
        <v>0</v>
      </c>
      <c r="Z344" s="1086">
        <v>0</v>
      </c>
      <c r="AA344" s="1086">
        <v>0</v>
      </c>
      <c r="AB344" s="1086">
        <v>0</v>
      </c>
      <c r="AC344" s="1086">
        <v>49992.34</v>
      </c>
      <c r="AD344" s="1086" t="s">
        <v>248</v>
      </c>
      <c r="AE344" s="1086" t="s">
        <v>3877</v>
      </c>
      <c r="AF344" s="1086">
        <f t="shared" si="21"/>
        <v>49992.34</v>
      </c>
      <c r="AG344" s="1086">
        <f t="shared" si="20"/>
        <v>0</v>
      </c>
      <c r="AQ344" s="1086">
        <v>0</v>
      </c>
      <c r="AR344" s="1086">
        <v>0</v>
      </c>
      <c r="AS344" s="1086">
        <v>49992.34</v>
      </c>
      <c r="AT344" s="1086">
        <f t="shared" si="22"/>
        <v>0</v>
      </c>
      <c r="AV344" s="1150">
        <f t="shared" si="23"/>
        <v>41675.660000000003</v>
      </c>
    </row>
    <row r="345" spans="1:48" x14ac:dyDescent="0.2">
      <c r="A345" s="19">
        <v>346</v>
      </c>
      <c r="B345" t="s">
        <v>1645</v>
      </c>
      <c r="C345" t="s">
        <v>1290</v>
      </c>
      <c r="D345" t="s">
        <v>1045</v>
      </c>
      <c r="E345" t="s">
        <v>2221</v>
      </c>
      <c r="F345" t="s">
        <v>2416</v>
      </c>
      <c r="G345" t="s">
        <v>1250</v>
      </c>
      <c r="H345" t="s">
        <v>3825</v>
      </c>
      <c r="I345" t="s">
        <v>3839</v>
      </c>
      <c r="J345" t="s">
        <v>3255</v>
      </c>
      <c r="K345" t="s">
        <v>3562</v>
      </c>
      <c r="L345" t="s">
        <v>2814</v>
      </c>
      <c r="M345" s="1086">
        <v>11730.01</v>
      </c>
      <c r="N345" s="1086">
        <v>132</v>
      </c>
      <c r="O345" s="1086">
        <v>0</v>
      </c>
      <c r="P345" s="1086">
        <v>0</v>
      </c>
      <c r="Q345" s="1086">
        <v>0</v>
      </c>
      <c r="R345" s="1086">
        <v>0</v>
      </c>
      <c r="S345" s="1086">
        <v>0</v>
      </c>
      <c r="T345" s="1086">
        <v>0</v>
      </c>
      <c r="U345" s="1086">
        <v>20</v>
      </c>
      <c r="V345" s="1086">
        <v>0</v>
      </c>
      <c r="W345" s="1086">
        <v>0</v>
      </c>
      <c r="X345" s="1086">
        <v>0</v>
      </c>
      <c r="Y345" s="1086">
        <v>0</v>
      </c>
      <c r="Z345" s="1086">
        <v>0</v>
      </c>
      <c r="AA345" s="1086">
        <v>5.04</v>
      </c>
      <c r="AB345" s="1086">
        <v>0</v>
      </c>
      <c r="AC345" s="1086">
        <v>11836.97</v>
      </c>
      <c r="AD345" s="1086" t="s">
        <v>248</v>
      </c>
      <c r="AE345" s="1086" t="s">
        <v>3877</v>
      </c>
      <c r="AF345" s="1086">
        <f t="shared" si="21"/>
        <v>11836.97</v>
      </c>
      <c r="AG345" s="1086">
        <f t="shared" si="20"/>
        <v>0</v>
      </c>
      <c r="AQ345" s="1086">
        <v>0</v>
      </c>
      <c r="AR345" s="1086">
        <v>0</v>
      </c>
      <c r="AS345" s="1086">
        <v>11836.97</v>
      </c>
      <c r="AT345" s="1086">
        <f t="shared" si="22"/>
        <v>0</v>
      </c>
      <c r="AV345" s="1150">
        <f t="shared" si="23"/>
        <v>25.04</v>
      </c>
    </row>
    <row r="346" spans="1:48" x14ac:dyDescent="0.2">
      <c r="A346" s="19">
        <v>347</v>
      </c>
      <c r="B346" t="s">
        <v>1646</v>
      </c>
      <c r="C346" t="s">
        <v>1290</v>
      </c>
      <c r="D346" t="s">
        <v>1045</v>
      </c>
      <c r="E346" t="s">
        <v>2221</v>
      </c>
      <c r="F346" t="s">
        <v>2416</v>
      </c>
      <c r="G346" t="s">
        <v>1250</v>
      </c>
      <c r="H346" t="s">
        <v>3825</v>
      </c>
      <c r="I346">
        <v>2221</v>
      </c>
      <c r="J346" t="s">
        <v>3255</v>
      </c>
      <c r="K346" t="s">
        <v>3563</v>
      </c>
      <c r="L346" t="s">
        <v>2815</v>
      </c>
      <c r="M346" s="1086">
        <v>58023.85</v>
      </c>
      <c r="N346" s="1086">
        <v>0</v>
      </c>
      <c r="O346" s="1086">
        <v>0</v>
      </c>
      <c r="P346" s="1086">
        <v>0</v>
      </c>
      <c r="Q346" s="1086">
        <v>0</v>
      </c>
      <c r="R346" s="1086">
        <v>0</v>
      </c>
      <c r="S346" s="1086">
        <v>0</v>
      </c>
      <c r="T346" s="1086">
        <v>0</v>
      </c>
      <c r="U346" s="1086">
        <v>0</v>
      </c>
      <c r="V346" s="1086">
        <v>0</v>
      </c>
      <c r="W346" s="1086">
        <v>0</v>
      </c>
      <c r="X346" s="1086">
        <v>0</v>
      </c>
      <c r="Y346" s="1086">
        <v>0</v>
      </c>
      <c r="Z346" s="1086">
        <v>0</v>
      </c>
      <c r="AA346" s="1086">
        <v>0</v>
      </c>
      <c r="AB346" s="1086">
        <v>0</v>
      </c>
      <c r="AC346" s="1086">
        <v>58023.85</v>
      </c>
      <c r="AD346" s="1086" t="s">
        <v>248</v>
      </c>
      <c r="AE346" s="1086" t="s">
        <v>3877</v>
      </c>
      <c r="AF346" s="1086">
        <f t="shared" si="21"/>
        <v>58023.85</v>
      </c>
      <c r="AG346" s="1086">
        <f t="shared" si="20"/>
        <v>0</v>
      </c>
      <c r="AQ346" s="1086">
        <v>0</v>
      </c>
      <c r="AR346" s="1086">
        <v>0</v>
      </c>
      <c r="AS346" s="1086">
        <v>58023.85</v>
      </c>
      <c r="AT346" s="1086">
        <f t="shared" si="22"/>
        <v>0</v>
      </c>
      <c r="AV346" s="1150">
        <f t="shared" si="23"/>
        <v>0</v>
      </c>
    </row>
    <row r="347" spans="1:48" x14ac:dyDescent="0.2">
      <c r="A347" s="19">
        <v>348</v>
      </c>
      <c r="B347" t="s">
        <v>1647</v>
      </c>
      <c r="C347" t="s">
        <v>1290</v>
      </c>
      <c r="D347" t="s">
        <v>1045</v>
      </c>
      <c r="E347" t="s">
        <v>2221</v>
      </c>
      <c r="F347" t="s">
        <v>2416</v>
      </c>
      <c r="G347" t="s">
        <v>1250</v>
      </c>
      <c r="H347" t="s">
        <v>3822</v>
      </c>
      <c r="I347" t="s">
        <v>3839</v>
      </c>
      <c r="J347" t="s">
        <v>3255</v>
      </c>
      <c r="K347" t="s">
        <v>3564</v>
      </c>
      <c r="L347" t="s">
        <v>2816</v>
      </c>
      <c r="M347" s="1086">
        <v>371356.33</v>
      </c>
      <c r="N347" s="1086">
        <v>103227.75</v>
      </c>
      <c r="O347" s="1086">
        <v>0</v>
      </c>
      <c r="P347" s="1086">
        <v>0</v>
      </c>
      <c r="Q347" s="1086">
        <v>0</v>
      </c>
      <c r="R347" s="1086">
        <v>0</v>
      </c>
      <c r="S347" s="1086">
        <v>0</v>
      </c>
      <c r="T347" s="1086">
        <v>0</v>
      </c>
      <c r="U347" s="1086">
        <v>306676.64</v>
      </c>
      <c r="V347" s="1086">
        <v>0</v>
      </c>
      <c r="W347" s="1086">
        <v>0</v>
      </c>
      <c r="X347" s="1086">
        <v>0</v>
      </c>
      <c r="Y347" s="1086">
        <v>-49404</v>
      </c>
      <c r="Z347" s="1086">
        <v>0</v>
      </c>
      <c r="AA347" s="1086">
        <v>11263.59</v>
      </c>
      <c r="AB347" s="1086">
        <v>0</v>
      </c>
      <c r="AC347" s="1086">
        <v>206047.85</v>
      </c>
      <c r="AD347" s="1086" t="s">
        <v>248</v>
      </c>
      <c r="AE347" s="1086" t="s">
        <v>3877</v>
      </c>
      <c r="AF347" s="1086">
        <f t="shared" si="21"/>
        <v>206047.84999999998</v>
      </c>
      <c r="AG347" s="1086">
        <f t="shared" si="20"/>
        <v>0</v>
      </c>
      <c r="AQ347" s="1086">
        <v>0</v>
      </c>
      <c r="AR347" s="1086">
        <v>0</v>
      </c>
      <c r="AS347" s="1086">
        <v>206047.85</v>
      </c>
      <c r="AT347" s="1086">
        <f t="shared" si="22"/>
        <v>0</v>
      </c>
      <c r="AV347" s="1150">
        <f t="shared" si="23"/>
        <v>268536.23000000004</v>
      </c>
    </row>
    <row r="348" spans="1:48" x14ac:dyDescent="0.2">
      <c r="A348" s="19">
        <v>349</v>
      </c>
      <c r="B348" t="s">
        <v>1648</v>
      </c>
      <c r="C348" t="s">
        <v>1290</v>
      </c>
      <c r="D348" t="s">
        <v>1045</v>
      </c>
      <c r="E348" t="s">
        <v>2221</v>
      </c>
      <c r="F348" t="s">
        <v>2416</v>
      </c>
      <c r="G348" t="s">
        <v>1250</v>
      </c>
      <c r="H348" t="s">
        <v>3822</v>
      </c>
      <c r="I348" t="s">
        <v>3251</v>
      </c>
      <c r="J348" t="s">
        <v>3251</v>
      </c>
      <c r="K348" t="s">
        <v>3251</v>
      </c>
      <c r="L348" t="s">
        <v>2817</v>
      </c>
      <c r="M348" s="1086">
        <v>0</v>
      </c>
      <c r="N348" s="1086">
        <v>0</v>
      </c>
      <c r="O348" s="1086">
        <v>0</v>
      </c>
      <c r="P348" s="1086">
        <v>0</v>
      </c>
      <c r="Q348" s="1086">
        <v>0</v>
      </c>
      <c r="R348" s="1086">
        <v>0</v>
      </c>
      <c r="S348" s="1086">
        <v>0</v>
      </c>
      <c r="T348" s="1086">
        <v>0</v>
      </c>
      <c r="U348" s="1086">
        <v>0</v>
      </c>
      <c r="V348" s="1086">
        <v>0</v>
      </c>
      <c r="W348" s="1086">
        <v>0</v>
      </c>
      <c r="X348" s="1086">
        <v>0</v>
      </c>
      <c r="Y348" s="1086">
        <v>-112500</v>
      </c>
      <c r="Z348" s="1086">
        <v>0</v>
      </c>
      <c r="AA348" s="1086">
        <v>0</v>
      </c>
      <c r="AB348" s="1086">
        <v>0</v>
      </c>
      <c r="AC348" s="1086">
        <v>112500</v>
      </c>
      <c r="AD348" s="1086" t="s">
        <v>248</v>
      </c>
      <c r="AE348" s="1086" t="s">
        <v>3877</v>
      </c>
      <c r="AF348" s="1086">
        <f t="shared" si="21"/>
        <v>112500</v>
      </c>
      <c r="AG348" s="1086">
        <f t="shared" si="20"/>
        <v>0</v>
      </c>
      <c r="AQ348" s="1086">
        <v>0</v>
      </c>
      <c r="AR348" s="1086">
        <v>0</v>
      </c>
      <c r="AS348" s="1086">
        <v>112500</v>
      </c>
      <c r="AT348" s="1086">
        <f t="shared" si="22"/>
        <v>0</v>
      </c>
      <c r="AV348" s="1150">
        <f t="shared" si="23"/>
        <v>-112500</v>
      </c>
    </row>
    <row r="349" spans="1:48" x14ac:dyDescent="0.2">
      <c r="A349" s="19">
        <v>350</v>
      </c>
      <c r="B349" t="s">
        <v>1649</v>
      </c>
      <c r="C349" t="s">
        <v>1290</v>
      </c>
      <c r="D349" t="s">
        <v>1045</v>
      </c>
      <c r="E349" t="s">
        <v>2221</v>
      </c>
      <c r="F349" t="s">
        <v>2416</v>
      </c>
      <c r="G349" t="s">
        <v>1250</v>
      </c>
      <c r="H349" t="s">
        <v>3822</v>
      </c>
      <c r="I349" t="s">
        <v>3251</v>
      </c>
      <c r="J349" t="s">
        <v>3251</v>
      </c>
      <c r="K349" t="s">
        <v>3251</v>
      </c>
      <c r="L349" t="s">
        <v>2818</v>
      </c>
      <c r="M349" s="1086">
        <v>0</v>
      </c>
      <c r="N349" s="1086">
        <v>0</v>
      </c>
      <c r="O349" s="1086">
        <v>0</v>
      </c>
      <c r="P349" s="1086">
        <v>0</v>
      </c>
      <c r="Q349" s="1086">
        <v>0</v>
      </c>
      <c r="R349" s="1086">
        <v>0</v>
      </c>
      <c r="S349" s="1086">
        <v>0</v>
      </c>
      <c r="T349" s="1086">
        <v>0</v>
      </c>
      <c r="U349" s="1086">
        <v>0</v>
      </c>
      <c r="V349" s="1086">
        <v>0</v>
      </c>
      <c r="W349" s="1086">
        <v>0</v>
      </c>
      <c r="X349" s="1086">
        <v>0</v>
      </c>
      <c r="Y349" s="1086">
        <v>-500000</v>
      </c>
      <c r="Z349" s="1086">
        <v>0</v>
      </c>
      <c r="AA349" s="1086">
        <v>0</v>
      </c>
      <c r="AB349" s="1086">
        <v>0</v>
      </c>
      <c r="AC349" s="1086">
        <v>500000</v>
      </c>
      <c r="AD349" s="1086" t="s">
        <v>248</v>
      </c>
      <c r="AE349" s="1086" t="s">
        <v>3877</v>
      </c>
      <c r="AF349" s="1086">
        <f t="shared" si="21"/>
        <v>500000</v>
      </c>
      <c r="AG349" s="1086">
        <f t="shared" si="20"/>
        <v>0</v>
      </c>
      <c r="AQ349" s="1086">
        <v>0</v>
      </c>
      <c r="AR349" s="1086">
        <v>0</v>
      </c>
      <c r="AS349" s="1086">
        <v>500000</v>
      </c>
      <c r="AT349" s="1086">
        <f t="shared" si="22"/>
        <v>0</v>
      </c>
      <c r="AV349" s="1150">
        <f t="shared" si="23"/>
        <v>-500000</v>
      </c>
    </row>
    <row r="350" spans="1:48" x14ac:dyDescent="0.2">
      <c r="A350" s="19">
        <v>351</v>
      </c>
      <c r="B350" t="s">
        <v>1650</v>
      </c>
      <c r="C350" t="s">
        <v>1290</v>
      </c>
      <c r="D350" t="s">
        <v>1055</v>
      </c>
      <c r="E350" t="s">
        <v>2222</v>
      </c>
      <c r="F350" t="s">
        <v>2417</v>
      </c>
      <c r="G350" t="s">
        <v>1250</v>
      </c>
      <c r="H350" t="s">
        <v>3823</v>
      </c>
      <c r="I350" t="s">
        <v>3251</v>
      </c>
      <c r="J350" t="s">
        <v>3251</v>
      </c>
      <c r="K350" t="s">
        <v>3251</v>
      </c>
      <c r="L350" t="s">
        <v>2819</v>
      </c>
      <c r="M350" s="1086">
        <v>0</v>
      </c>
      <c r="N350" s="1086">
        <v>0</v>
      </c>
      <c r="O350" s="1086">
        <v>500000</v>
      </c>
      <c r="P350" s="1086">
        <v>0</v>
      </c>
      <c r="Q350" s="1086">
        <v>0</v>
      </c>
      <c r="R350" s="1086">
        <v>25565.82</v>
      </c>
      <c r="S350" s="1086">
        <v>0</v>
      </c>
      <c r="T350" s="1086">
        <v>10293.81</v>
      </c>
      <c r="U350" s="1086">
        <v>77676.740000000005</v>
      </c>
      <c r="V350" s="1086">
        <v>0</v>
      </c>
      <c r="W350" s="1086">
        <v>0</v>
      </c>
      <c r="X350" s="1086">
        <v>0</v>
      </c>
      <c r="Y350" s="1086">
        <v>0</v>
      </c>
      <c r="Z350" s="1086">
        <v>0</v>
      </c>
      <c r="AA350" s="1086">
        <v>0</v>
      </c>
      <c r="AB350" s="1086">
        <v>0</v>
      </c>
      <c r="AC350" s="1086">
        <v>386463.63</v>
      </c>
      <c r="AD350" s="1086" t="s">
        <v>248</v>
      </c>
      <c r="AE350" s="1086" t="s">
        <v>3881</v>
      </c>
      <c r="AF350" s="1086">
        <f t="shared" si="21"/>
        <v>386463.63</v>
      </c>
      <c r="AG350" s="1086">
        <f t="shared" si="20"/>
        <v>0</v>
      </c>
      <c r="AQ350" s="1086">
        <v>0</v>
      </c>
      <c r="AR350" s="1086">
        <v>0</v>
      </c>
      <c r="AS350" s="1086">
        <v>386463.63</v>
      </c>
      <c r="AT350" s="1086">
        <f t="shared" si="22"/>
        <v>0</v>
      </c>
      <c r="AV350" s="1150">
        <f t="shared" si="23"/>
        <v>113536.37</v>
      </c>
    </row>
    <row r="351" spans="1:48" x14ac:dyDescent="0.2">
      <c r="A351" s="19">
        <v>352</v>
      </c>
      <c r="B351" t="s">
        <v>1651</v>
      </c>
      <c r="C351" t="s">
        <v>1290</v>
      </c>
      <c r="D351" t="s">
        <v>1032</v>
      </c>
      <c r="E351" t="s">
        <v>2223</v>
      </c>
      <c r="F351" t="s">
        <v>2418</v>
      </c>
      <c r="G351" t="s">
        <v>1250</v>
      </c>
      <c r="H351" t="s">
        <v>3826</v>
      </c>
      <c r="I351" t="s">
        <v>3839</v>
      </c>
      <c r="J351" t="s">
        <v>3332</v>
      </c>
      <c r="K351" t="s">
        <v>3565</v>
      </c>
      <c r="L351" t="s">
        <v>2820</v>
      </c>
      <c r="M351" s="1086">
        <v>504763.18</v>
      </c>
      <c r="N351" s="1086">
        <v>261245.76</v>
      </c>
      <c r="O351" s="1086">
        <v>4669.43</v>
      </c>
      <c r="P351" s="1086">
        <v>0</v>
      </c>
      <c r="Q351" s="1086">
        <v>0</v>
      </c>
      <c r="R351" s="1086">
        <v>6717.41</v>
      </c>
      <c r="S351" s="1086">
        <v>63185.52</v>
      </c>
      <c r="T351" s="1086">
        <v>4024.92</v>
      </c>
      <c r="U351" s="1086">
        <v>616482.43999999994</v>
      </c>
      <c r="V351" s="1086">
        <v>0</v>
      </c>
      <c r="W351" s="1086">
        <v>0</v>
      </c>
      <c r="X351" s="1086">
        <v>0</v>
      </c>
      <c r="Y351" s="1086">
        <v>-227529.88</v>
      </c>
      <c r="Z351" s="1086">
        <v>0</v>
      </c>
      <c r="AA351" s="1086">
        <v>8562.5300000000007</v>
      </c>
      <c r="AB351" s="1086">
        <v>0</v>
      </c>
      <c r="AC351" s="1086">
        <v>299235.43</v>
      </c>
      <c r="AD351" s="1086" t="s">
        <v>248</v>
      </c>
      <c r="AE351" s="1086" t="s">
        <v>3877</v>
      </c>
      <c r="AF351" s="1086">
        <f t="shared" si="21"/>
        <v>299235.43000000005</v>
      </c>
      <c r="AG351" s="1086">
        <f t="shared" si="20"/>
        <v>0</v>
      </c>
      <c r="AQ351" s="1086">
        <v>0</v>
      </c>
      <c r="AR351" s="1086">
        <v>0</v>
      </c>
      <c r="AS351" s="1086">
        <v>299235.43</v>
      </c>
      <c r="AT351" s="1086">
        <f t="shared" si="22"/>
        <v>0</v>
      </c>
      <c r="AV351" s="1150">
        <f t="shared" si="23"/>
        <v>471442.93999999994</v>
      </c>
    </row>
    <row r="352" spans="1:48" x14ac:dyDescent="0.2">
      <c r="A352" s="19">
        <v>353</v>
      </c>
      <c r="B352" t="s">
        <v>1652</v>
      </c>
      <c r="C352" t="s">
        <v>1290</v>
      </c>
      <c r="D352" t="s">
        <v>1058</v>
      </c>
      <c r="E352" t="s">
        <v>2224</v>
      </c>
      <c r="F352" t="s">
        <v>2419</v>
      </c>
      <c r="G352" t="s">
        <v>1250</v>
      </c>
      <c r="H352" t="s">
        <v>3825</v>
      </c>
      <c r="I352" t="s">
        <v>3251</v>
      </c>
      <c r="J352" t="s">
        <v>3251</v>
      </c>
      <c r="K352" t="s">
        <v>3251</v>
      </c>
      <c r="L352" t="s">
        <v>2419</v>
      </c>
      <c r="M352" s="1086">
        <v>26321.88</v>
      </c>
      <c r="N352" s="1086">
        <v>0</v>
      </c>
      <c r="O352" s="1086">
        <v>60052.47</v>
      </c>
      <c r="P352" s="1086">
        <v>0</v>
      </c>
      <c r="Q352" s="1086">
        <v>0</v>
      </c>
      <c r="R352" s="1086">
        <v>0</v>
      </c>
      <c r="S352" s="1086">
        <v>578.4</v>
      </c>
      <c r="T352" s="1086">
        <v>17.07</v>
      </c>
      <c r="U352" s="1086">
        <v>37387.83</v>
      </c>
      <c r="V352" s="1086">
        <v>0</v>
      </c>
      <c r="W352" s="1086">
        <v>1644.53</v>
      </c>
      <c r="X352" s="1086">
        <v>19893.98</v>
      </c>
      <c r="Y352" s="1086">
        <v>0</v>
      </c>
      <c r="Z352" s="1086">
        <v>0</v>
      </c>
      <c r="AA352" s="1086">
        <v>612.65</v>
      </c>
      <c r="AB352" s="1086">
        <v>0</v>
      </c>
      <c r="AC352" s="1086">
        <v>26239.89</v>
      </c>
      <c r="AD352" s="1086" t="s">
        <v>248</v>
      </c>
      <c r="AE352" s="1086" t="s">
        <v>3877</v>
      </c>
      <c r="AF352" s="1086">
        <f t="shared" si="21"/>
        <v>26239.890000000007</v>
      </c>
      <c r="AG352" s="1086">
        <f t="shared" si="20"/>
        <v>0</v>
      </c>
      <c r="AQ352" s="1086">
        <v>0</v>
      </c>
      <c r="AR352" s="1086">
        <v>0</v>
      </c>
      <c r="AS352" s="1086">
        <v>26239.89</v>
      </c>
      <c r="AT352" s="1086">
        <f t="shared" si="22"/>
        <v>0</v>
      </c>
      <c r="AV352" s="1150">
        <f t="shared" si="23"/>
        <v>60134.46</v>
      </c>
    </row>
    <row r="353" spans="1:48" x14ac:dyDescent="0.2">
      <c r="A353" s="19">
        <v>354</v>
      </c>
      <c r="B353" t="s">
        <v>1653</v>
      </c>
      <c r="C353" t="s">
        <v>1290</v>
      </c>
      <c r="D353" t="s">
        <v>1056</v>
      </c>
      <c r="E353" t="s">
        <v>2225</v>
      </c>
      <c r="F353" t="s">
        <v>2420</v>
      </c>
      <c r="G353" t="s">
        <v>1256</v>
      </c>
      <c r="H353" t="s">
        <v>3827</v>
      </c>
      <c r="I353" t="s">
        <v>3251</v>
      </c>
      <c r="J353" t="s">
        <v>3251</v>
      </c>
      <c r="K353" t="s">
        <v>3251</v>
      </c>
      <c r="L353" t="s">
        <v>2821</v>
      </c>
      <c r="M353" s="1086">
        <v>0</v>
      </c>
      <c r="N353" s="1086">
        <v>513.94000000000005</v>
      </c>
      <c r="O353" s="1086">
        <v>427560</v>
      </c>
      <c r="P353" s="1086">
        <v>0</v>
      </c>
      <c r="Q353" s="1086">
        <v>0</v>
      </c>
      <c r="R353" s="1086">
        <v>0</v>
      </c>
      <c r="S353" s="1086">
        <v>14662.6</v>
      </c>
      <c r="T353" s="1086">
        <v>252.42</v>
      </c>
      <c r="U353" s="1086">
        <v>480279.56</v>
      </c>
      <c r="V353" s="1086">
        <v>0</v>
      </c>
      <c r="W353" s="1086">
        <v>0</v>
      </c>
      <c r="X353" s="1086">
        <v>0</v>
      </c>
      <c r="Y353" s="1086">
        <v>-578285.34</v>
      </c>
      <c r="Z353" s="1086">
        <v>0</v>
      </c>
      <c r="AA353" s="1086">
        <v>200017.34</v>
      </c>
      <c r="AB353" s="1086">
        <v>0</v>
      </c>
      <c r="AC353" s="1086">
        <v>311147.36</v>
      </c>
      <c r="AD353" s="1086" t="s">
        <v>248</v>
      </c>
      <c r="AE353" s="1086" t="s">
        <v>3877</v>
      </c>
      <c r="AF353" s="1086">
        <f t="shared" si="21"/>
        <v>311147.36</v>
      </c>
      <c r="AG353" s="1086">
        <f t="shared" si="20"/>
        <v>0</v>
      </c>
      <c r="AQ353" s="1086">
        <v>0</v>
      </c>
      <c r="AR353" s="1086">
        <v>0</v>
      </c>
      <c r="AS353" s="1086">
        <v>311147.36000000004</v>
      </c>
      <c r="AT353" s="1086">
        <f t="shared" si="22"/>
        <v>0</v>
      </c>
      <c r="AV353" s="1150">
        <f t="shared" si="23"/>
        <v>116926.58000000005</v>
      </c>
    </row>
    <row r="354" spans="1:48" x14ac:dyDescent="0.2">
      <c r="A354" s="19">
        <v>355</v>
      </c>
      <c r="B354" t="s">
        <v>1654</v>
      </c>
      <c r="C354" t="s">
        <v>1290</v>
      </c>
      <c r="D354" t="s">
        <v>2079</v>
      </c>
      <c r="E354" t="s">
        <v>2226</v>
      </c>
      <c r="F354" t="s">
        <v>2373</v>
      </c>
      <c r="G354" t="s">
        <v>1257</v>
      </c>
      <c r="H354" t="s">
        <v>3826</v>
      </c>
      <c r="I354" t="s">
        <v>3839</v>
      </c>
      <c r="J354" t="s">
        <v>3566</v>
      </c>
      <c r="K354" t="s">
        <v>3567</v>
      </c>
      <c r="L354" t="s">
        <v>2822</v>
      </c>
      <c r="M354" s="1086">
        <v>0</v>
      </c>
      <c r="N354" s="1086">
        <v>0</v>
      </c>
      <c r="O354" s="1086">
        <v>0</v>
      </c>
      <c r="P354" s="1086">
        <v>0</v>
      </c>
      <c r="Q354" s="1086">
        <v>0</v>
      </c>
      <c r="R354" s="1086">
        <v>0</v>
      </c>
      <c r="S354" s="1086">
        <v>0</v>
      </c>
      <c r="T354" s="1086">
        <v>0</v>
      </c>
      <c r="U354" s="1086">
        <v>0</v>
      </c>
      <c r="V354" s="1086">
        <v>0</v>
      </c>
      <c r="W354" s="1086">
        <v>0</v>
      </c>
      <c r="X354" s="1086">
        <v>0</v>
      </c>
      <c r="Y354" s="1086">
        <v>0</v>
      </c>
      <c r="Z354" s="1086">
        <v>0</v>
      </c>
      <c r="AA354" s="1086">
        <v>0</v>
      </c>
      <c r="AB354" s="1086">
        <v>0</v>
      </c>
      <c r="AC354" s="1086">
        <v>0</v>
      </c>
      <c r="AD354" s="1086" t="s">
        <v>248</v>
      </c>
      <c r="AE354" s="1086" t="s">
        <v>3877</v>
      </c>
      <c r="AF354" s="1086">
        <f t="shared" si="21"/>
        <v>0</v>
      </c>
      <c r="AG354" s="1086">
        <f t="shared" si="20"/>
        <v>0</v>
      </c>
      <c r="AQ354" s="1086">
        <v>0</v>
      </c>
      <c r="AR354" s="1086">
        <v>0</v>
      </c>
      <c r="AS354" s="1086">
        <v>0</v>
      </c>
      <c r="AT354" s="1086">
        <f t="shared" si="22"/>
        <v>0</v>
      </c>
      <c r="AV354" s="1150">
        <f t="shared" si="23"/>
        <v>0</v>
      </c>
    </row>
    <row r="355" spans="1:48" x14ac:dyDescent="0.2">
      <c r="A355" s="19">
        <v>356</v>
      </c>
      <c r="B355" t="s">
        <v>1655</v>
      </c>
      <c r="C355" t="s">
        <v>1290</v>
      </c>
      <c r="D355" t="s">
        <v>1052</v>
      </c>
      <c r="E355" t="s">
        <v>2227</v>
      </c>
      <c r="F355" t="s">
        <v>2421</v>
      </c>
      <c r="G355" t="s">
        <v>1250</v>
      </c>
      <c r="H355" t="s">
        <v>3827</v>
      </c>
      <c r="I355" t="s">
        <v>3251</v>
      </c>
      <c r="J355" t="s">
        <v>3251</v>
      </c>
      <c r="K355" t="s">
        <v>3251</v>
      </c>
      <c r="L355" t="s">
        <v>2823</v>
      </c>
      <c r="M355" s="1086">
        <v>0</v>
      </c>
      <c r="N355" s="1086">
        <v>3.46</v>
      </c>
      <c r="O355" s="1086">
        <v>100000</v>
      </c>
      <c r="P355" s="1086">
        <v>44166.69</v>
      </c>
      <c r="Q355" s="1086">
        <v>0</v>
      </c>
      <c r="R355" s="1086">
        <v>0</v>
      </c>
      <c r="S355" s="1086">
        <v>0</v>
      </c>
      <c r="T355" s="1086">
        <v>4.9000000000000004</v>
      </c>
      <c r="U355" s="1086">
        <v>102666.11</v>
      </c>
      <c r="V355" s="1086">
        <v>0</v>
      </c>
      <c r="W355" s="1086">
        <v>0</v>
      </c>
      <c r="X355" s="1086">
        <v>199</v>
      </c>
      <c r="Y355" s="1086">
        <v>-195694</v>
      </c>
      <c r="Z355" s="1086">
        <v>0</v>
      </c>
      <c r="AA355" s="1086">
        <v>0</v>
      </c>
      <c r="AB355" s="1086">
        <v>0</v>
      </c>
      <c r="AC355" s="1086">
        <v>148660.76</v>
      </c>
      <c r="AD355" s="1086" t="s">
        <v>248</v>
      </c>
      <c r="AE355" s="1086" t="s">
        <v>3877</v>
      </c>
      <c r="AF355" s="1086">
        <f t="shared" si="21"/>
        <v>148660.76</v>
      </c>
      <c r="AG355" s="1086">
        <f t="shared" si="20"/>
        <v>0</v>
      </c>
      <c r="AQ355" s="1086">
        <v>0</v>
      </c>
      <c r="AR355" s="1086">
        <v>0</v>
      </c>
      <c r="AS355" s="1086">
        <v>148660.76</v>
      </c>
      <c r="AT355" s="1086">
        <f t="shared" si="22"/>
        <v>0</v>
      </c>
      <c r="AV355" s="1150">
        <f t="shared" si="23"/>
        <v>-48657.299999999988</v>
      </c>
    </row>
    <row r="356" spans="1:48" x14ac:dyDescent="0.2">
      <c r="A356" s="19">
        <v>357</v>
      </c>
      <c r="B356" t="s">
        <v>1656</v>
      </c>
      <c r="C356" t="s">
        <v>2066</v>
      </c>
      <c r="D356" t="s">
        <v>1042</v>
      </c>
      <c r="E356" t="s">
        <v>2228</v>
      </c>
      <c r="F356" t="s">
        <v>2422</v>
      </c>
      <c r="G356" t="s">
        <v>1257</v>
      </c>
      <c r="H356" t="s">
        <v>3826</v>
      </c>
      <c r="I356">
        <v>2221</v>
      </c>
      <c r="J356" t="s">
        <v>3568</v>
      </c>
      <c r="K356" t="s">
        <v>3569</v>
      </c>
      <c r="L356" t="s">
        <v>2824</v>
      </c>
      <c r="M356" s="1086">
        <v>470213.2</v>
      </c>
      <c r="N356" s="1086">
        <v>170446.13</v>
      </c>
      <c r="O356" s="1086">
        <v>107008</v>
      </c>
      <c r="P356" s="1086">
        <v>5709.08</v>
      </c>
      <c r="Q356" s="1086">
        <v>3375</v>
      </c>
      <c r="R356" s="1086">
        <v>0</v>
      </c>
      <c r="S356" s="1086">
        <v>2859</v>
      </c>
      <c r="T356" s="1086">
        <v>6676.67</v>
      </c>
      <c r="U356" s="1086">
        <v>60722.34</v>
      </c>
      <c r="V356" s="1086">
        <v>1303.44</v>
      </c>
      <c r="W356" s="1086">
        <v>12981.85</v>
      </c>
      <c r="X356" s="1086">
        <v>14919.64</v>
      </c>
      <c r="Y356" s="1086">
        <v>-9864</v>
      </c>
      <c r="Z356" s="1086">
        <v>0</v>
      </c>
      <c r="AA356" s="1086">
        <v>5719.75</v>
      </c>
      <c r="AB356" s="1086">
        <v>0</v>
      </c>
      <c r="AC356" s="1086">
        <v>643264.56000000006</v>
      </c>
      <c r="AD356" s="1086" t="s">
        <v>248</v>
      </c>
      <c r="AE356" s="1086" t="s">
        <v>3877</v>
      </c>
      <c r="AF356" s="1086">
        <f t="shared" si="21"/>
        <v>643264.56000000006</v>
      </c>
      <c r="AG356" s="1086">
        <f t="shared" si="20"/>
        <v>0</v>
      </c>
      <c r="AQ356" s="1086">
        <v>0</v>
      </c>
      <c r="AR356" s="1086">
        <v>0</v>
      </c>
      <c r="AS356" s="1086">
        <v>643264.56000000029</v>
      </c>
      <c r="AT356" s="1086">
        <f t="shared" si="22"/>
        <v>0</v>
      </c>
      <c r="AV356" s="1150">
        <f t="shared" si="23"/>
        <v>104402.77</v>
      </c>
    </row>
    <row r="357" spans="1:48" x14ac:dyDescent="0.2">
      <c r="A357" s="19">
        <v>358</v>
      </c>
      <c r="B357" t="s">
        <v>1657</v>
      </c>
      <c r="C357" t="s">
        <v>2066</v>
      </c>
      <c r="D357" t="s">
        <v>1028</v>
      </c>
      <c r="E357" t="s">
        <v>2229</v>
      </c>
      <c r="F357" t="s">
        <v>2423</v>
      </c>
      <c r="G357" t="s">
        <v>1250</v>
      </c>
      <c r="H357" t="s">
        <v>3822</v>
      </c>
      <c r="I357">
        <v>2224</v>
      </c>
      <c r="J357" t="s">
        <v>3255</v>
      </c>
      <c r="K357">
        <v>5581</v>
      </c>
      <c r="L357" t="s">
        <v>2825</v>
      </c>
      <c r="M357" s="1086">
        <v>24147.01</v>
      </c>
      <c r="N357" s="1086">
        <v>0</v>
      </c>
      <c r="O357" s="1086">
        <v>2074.71</v>
      </c>
      <c r="P357" s="1086">
        <v>0</v>
      </c>
      <c r="Q357" s="1086">
        <v>0</v>
      </c>
      <c r="R357" s="1086">
        <v>0</v>
      </c>
      <c r="S357" s="1086">
        <v>0</v>
      </c>
      <c r="T357" s="1086">
        <v>0</v>
      </c>
      <c r="U357" s="1086">
        <v>707.22</v>
      </c>
      <c r="V357" s="1086">
        <v>0</v>
      </c>
      <c r="W357" s="1086">
        <v>0</v>
      </c>
      <c r="X357" s="1086">
        <v>0</v>
      </c>
      <c r="Y357" s="1086">
        <v>0</v>
      </c>
      <c r="Z357" s="1086">
        <v>0</v>
      </c>
      <c r="AA357" s="1086">
        <v>0</v>
      </c>
      <c r="AB357" s="1086">
        <v>0</v>
      </c>
      <c r="AC357" s="1086">
        <v>25514.5</v>
      </c>
      <c r="AD357" s="1086" t="s">
        <v>248</v>
      </c>
      <c r="AE357" s="1086" t="s">
        <v>3877</v>
      </c>
      <c r="AF357" s="1086">
        <f t="shared" si="21"/>
        <v>25514.499999999996</v>
      </c>
      <c r="AG357" s="1086">
        <f t="shared" si="20"/>
        <v>0</v>
      </c>
      <c r="AQ357" s="1086">
        <v>0</v>
      </c>
      <c r="AR357" s="1086">
        <v>0</v>
      </c>
      <c r="AS357" s="1086">
        <v>25514.5</v>
      </c>
      <c r="AT357" s="1086">
        <f t="shared" si="22"/>
        <v>0</v>
      </c>
      <c r="AV357" s="1150">
        <f t="shared" si="23"/>
        <v>707.22</v>
      </c>
    </row>
    <row r="358" spans="1:48" x14ac:dyDescent="0.2">
      <c r="A358" s="19">
        <v>359</v>
      </c>
      <c r="B358" t="s">
        <v>1658</v>
      </c>
      <c r="C358" t="s">
        <v>2066</v>
      </c>
      <c r="D358" t="s">
        <v>1026</v>
      </c>
      <c r="E358" t="s">
        <v>2230</v>
      </c>
      <c r="F358" t="s">
        <v>2424</v>
      </c>
      <c r="G358" t="s">
        <v>1250</v>
      </c>
      <c r="H358" t="s">
        <v>3823</v>
      </c>
      <c r="I358">
        <v>2221</v>
      </c>
      <c r="J358" t="s">
        <v>3357</v>
      </c>
      <c r="K358" t="s">
        <v>3570</v>
      </c>
      <c r="L358" t="s">
        <v>2826</v>
      </c>
      <c r="M358" s="1086">
        <v>711.7</v>
      </c>
      <c r="N358" s="1086">
        <v>0</v>
      </c>
      <c r="O358" s="1086">
        <v>6310.81</v>
      </c>
      <c r="P358" s="1086">
        <v>0</v>
      </c>
      <c r="Q358" s="1086">
        <v>0</v>
      </c>
      <c r="R358" s="1086">
        <v>0</v>
      </c>
      <c r="S358" s="1086">
        <v>0</v>
      </c>
      <c r="T358" s="1086">
        <v>0</v>
      </c>
      <c r="U358" s="1086">
        <v>545.65</v>
      </c>
      <c r="V358" s="1086">
        <v>0</v>
      </c>
      <c r="W358" s="1086">
        <v>0</v>
      </c>
      <c r="X358" s="1086">
        <v>1099.1400000000001</v>
      </c>
      <c r="Y358" s="1086">
        <v>0</v>
      </c>
      <c r="Z358" s="1086">
        <v>0</v>
      </c>
      <c r="AA358" s="1086">
        <v>0</v>
      </c>
      <c r="AB358" s="1086">
        <v>0</v>
      </c>
      <c r="AC358" s="1086">
        <v>5377.72</v>
      </c>
      <c r="AD358" s="1086" t="s">
        <v>248</v>
      </c>
      <c r="AE358" s="1086" t="s">
        <v>3877</v>
      </c>
      <c r="AF358" s="1086">
        <f t="shared" si="21"/>
        <v>5377.72</v>
      </c>
      <c r="AG358" s="1086">
        <f t="shared" si="20"/>
        <v>0</v>
      </c>
      <c r="AQ358" s="1086">
        <v>0</v>
      </c>
      <c r="AR358" s="1086">
        <v>0</v>
      </c>
      <c r="AS358" s="1086">
        <v>5377.72</v>
      </c>
      <c r="AT358" s="1086">
        <f t="shared" si="22"/>
        <v>0</v>
      </c>
      <c r="AV358" s="1150">
        <f t="shared" si="23"/>
        <v>1644.79</v>
      </c>
    </row>
    <row r="359" spans="1:48" x14ac:dyDescent="0.2">
      <c r="A359" s="19">
        <v>360</v>
      </c>
      <c r="B359" t="s">
        <v>1659</v>
      </c>
      <c r="C359" t="s">
        <v>2066</v>
      </c>
      <c r="D359" t="s">
        <v>1040</v>
      </c>
      <c r="E359" t="s">
        <v>2105</v>
      </c>
      <c r="F359" t="s">
        <v>2305</v>
      </c>
      <c r="G359" t="s">
        <v>1257</v>
      </c>
      <c r="H359" t="s">
        <v>3826</v>
      </c>
      <c r="I359">
        <v>0</v>
      </c>
      <c r="L359" t="s">
        <v>2827</v>
      </c>
      <c r="M359" s="1086">
        <v>170282.79</v>
      </c>
      <c r="N359" s="1086">
        <v>0</v>
      </c>
      <c r="O359" s="1086">
        <v>0</v>
      </c>
      <c r="P359" s="1086">
        <v>0</v>
      </c>
      <c r="Q359" s="1086">
        <v>0</v>
      </c>
      <c r="R359" s="1086">
        <v>0</v>
      </c>
      <c r="S359" s="1086">
        <v>0</v>
      </c>
      <c r="T359" s="1086">
        <v>0</v>
      </c>
      <c r="U359" s="1086">
        <v>0</v>
      </c>
      <c r="V359" s="1086">
        <v>0</v>
      </c>
      <c r="W359" s="1086">
        <v>0</v>
      </c>
      <c r="X359" s="1086">
        <v>0</v>
      </c>
      <c r="Y359" s="1086">
        <v>0</v>
      </c>
      <c r="Z359" s="1086">
        <v>0</v>
      </c>
      <c r="AA359" s="1086">
        <v>170282.79</v>
      </c>
      <c r="AB359" s="1086">
        <v>0</v>
      </c>
      <c r="AC359" s="1086">
        <v>0</v>
      </c>
      <c r="AD359" s="1086" t="s">
        <v>248</v>
      </c>
      <c r="AE359" s="1086" t="s">
        <v>3877</v>
      </c>
      <c r="AF359" s="1086">
        <f t="shared" si="21"/>
        <v>0</v>
      </c>
      <c r="AG359" s="1086">
        <f t="shared" si="20"/>
        <v>0</v>
      </c>
      <c r="AQ359" s="1086">
        <v>0</v>
      </c>
      <c r="AR359" s="1086">
        <v>0</v>
      </c>
      <c r="AS359" s="1086">
        <v>0</v>
      </c>
      <c r="AT359" s="1086">
        <f t="shared" si="22"/>
        <v>0</v>
      </c>
      <c r="AV359" s="1150">
        <f t="shared" si="23"/>
        <v>170282.79</v>
      </c>
    </row>
    <row r="360" spans="1:48" x14ac:dyDescent="0.2">
      <c r="A360" s="19">
        <v>361</v>
      </c>
      <c r="B360" t="s">
        <v>1660</v>
      </c>
      <c r="C360" t="s">
        <v>2066</v>
      </c>
      <c r="D360" t="s">
        <v>1058</v>
      </c>
      <c r="E360" t="s">
        <v>2120</v>
      </c>
      <c r="F360" t="s">
        <v>2317</v>
      </c>
      <c r="G360" t="s">
        <v>1250</v>
      </c>
      <c r="H360" t="s">
        <v>3825</v>
      </c>
      <c r="I360">
        <v>2224</v>
      </c>
      <c r="J360" t="s">
        <v>3313</v>
      </c>
      <c r="K360" t="s">
        <v>3571</v>
      </c>
      <c r="L360" t="s">
        <v>2828</v>
      </c>
      <c r="M360" s="1086">
        <v>213860.28</v>
      </c>
      <c r="N360" s="1086">
        <v>111609.05</v>
      </c>
      <c r="O360" s="1086">
        <v>3902.9</v>
      </c>
      <c r="P360" s="1086">
        <v>1833.61</v>
      </c>
      <c r="Q360" s="1086">
        <v>0</v>
      </c>
      <c r="R360" s="1086">
        <v>0</v>
      </c>
      <c r="S360" s="1086">
        <v>0</v>
      </c>
      <c r="T360" s="1086">
        <v>586.47</v>
      </c>
      <c r="U360" s="1086">
        <v>13639.94</v>
      </c>
      <c r="V360" s="1086">
        <v>0</v>
      </c>
      <c r="W360" s="1086">
        <v>39810.959999999999</v>
      </c>
      <c r="X360" s="1086">
        <v>3058.13</v>
      </c>
      <c r="Y360" s="1086">
        <v>-6000</v>
      </c>
      <c r="Z360" s="1086">
        <v>0</v>
      </c>
      <c r="AA360" s="1086">
        <v>47559.81</v>
      </c>
      <c r="AB360" s="1086">
        <v>0</v>
      </c>
      <c r="AC360" s="1086">
        <v>228883.31</v>
      </c>
      <c r="AD360" s="1086" t="s">
        <v>248</v>
      </c>
      <c r="AE360" s="1086" t="s">
        <v>3877</v>
      </c>
      <c r="AF360" s="1086">
        <f t="shared" si="21"/>
        <v>228883.31000000006</v>
      </c>
      <c r="AG360" s="1086">
        <f t="shared" si="20"/>
        <v>0</v>
      </c>
      <c r="AQ360" s="1086">
        <v>0</v>
      </c>
      <c r="AR360" s="1086">
        <v>0</v>
      </c>
      <c r="AS360" s="1086">
        <v>228883.30999999994</v>
      </c>
      <c r="AT360" s="1086">
        <f t="shared" si="22"/>
        <v>0</v>
      </c>
      <c r="AV360" s="1150">
        <f t="shared" si="23"/>
        <v>100488.91999999998</v>
      </c>
    </row>
    <row r="361" spans="1:48" x14ac:dyDescent="0.2">
      <c r="A361" s="19">
        <v>362</v>
      </c>
      <c r="B361" t="s">
        <v>1661</v>
      </c>
      <c r="C361" t="s">
        <v>2066</v>
      </c>
      <c r="D361" t="s">
        <v>1059</v>
      </c>
      <c r="E361" t="s">
        <v>2124</v>
      </c>
      <c r="F361" t="s">
        <v>2321</v>
      </c>
      <c r="G361" t="s">
        <v>1250</v>
      </c>
      <c r="H361" t="s">
        <v>3825</v>
      </c>
      <c r="I361">
        <v>2221</v>
      </c>
      <c r="J361" t="s">
        <v>3257</v>
      </c>
      <c r="K361" t="s">
        <v>3572</v>
      </c>
      <c r="L361" t="s">
        <v>2829</v>
      </c>
      <c r="M361" s="1086">
        <v>226477.33</v>
      </c>
      <c r="N361" s="1086">
        <v>68201.279999999999</v>
      </c>
      <c r="O361" s="1086">
        <v>0</v>
      </c>
      <c r="P361" s="1086">
        <v>0</v>
      </c>
      <c r="Q361" s="1086">
        <v>0</v>
      </c>
      <c r="R361" s="1086">
        <v>0</v>
      </c>
      <c r="S361" s="1086">
        <v>0</v>
      </c>
      <c r="T361" s="1086">
        <v>0</v>
      </c>
      <c r="U361" s="1086">
        <v>0</v>
      </c>
      <c r="V361" s="1086">
        <v>0</v>
      </c>
      <c r="W361" s="1086">
        <v>0</v>
      </c>
      <c r="X361" s="1086">
        <v>0</v>
      </c>
      <c r="Y361" s="1086">
        <v>0</v>
      </c>
      <c r="Z361" s="1086">
        <v>0</v>
      </c>
      <c r="AA361" s="1086">
        <v>2184.36</v>
      </c>
      <c r="AB361" s="1086">
        <v>0</v>
      </c>
      <c r="AC361" s="1086">
        <v>292494.25</v>
      </c>
      <c r="AD361" s="1086" t="s">
        <v>248</v>
      </c>
      <c r="AE361" s="1086" t="s">
        <v>3877</v>
      </c>
      <c r="AF361" s="1086">
        <f t="shared" si="21"/>
        <v>292494.25</v>
      </c>
      <c r="AG361" s="1086">
        <f t="shared" si="20"/>
        <v>0</v>
      </c>
      <c r="AQ361" s="1086">
        <v>0</v>
      </c>
      <c r="AR361" s="1086">
        <v>0</v>
      </c>
      <c r="AS361" s="1086">
        <v>292494.25</v>
      </c>
      <c r="AT361" s="1086">
        <f t="shared" si="22"/>
        <v>0</v>
      </c>
      <c r="AV361" s="1150">
        <f t="shared" si="23"/>
        <v>2184.36</v>
      </c>
    </row>
    <row r="362" spans="1:48" x14ac:dyDescent="0.2">
      <c r="A362" s="19">
        <v>363</v>
      </c>
      <c r="B362" t="s">
        <v>1662</v>
      </c>
      <c r="C362" t="s">
        <v>2066</v>
      </c>
      <c r="D362" t="s">
        <v>1005</v>
      </c>
      <c r="E362" t="s">
        <v>2133</v>
      </c>
      <c r="F362" t="s">
        <v>2330</v>
      </c>
      <c r="G362" t="s">
        <v>1250</v>
      </c>
      <c r="H362" t="s">
        <v>3825</v>
      </c>
      <c r="I362">
        <v>2221</v>
      </c>
      <c r="J362" t="s">
        <v>3355</v>
      </c>
      <c r="K362">
        <v>6307</v>
      </c>
      <c r="L362" t="s">
        <v>2830</v>
      </c>
      <c r="M362" s="1086">
        <v>1397050.35</v>
      </c>
      <c r="N362" s="1086">
        <v>896823.09</v>
      </c>
      <c r="O362" s="1086">
        <v>291052.32</v>
      </c>
      <c r="P362" s="1086">
        <v>50449.74</v>
      </c>
      <c r="Q362" s="1086">
        <v>30848</v>
      </c>
      <c r="R362" s="1086">
        <v>1000</v>
      </c>
      <c r="S362" s="1086">
        <v>0</v>
      </c>
      <c r="T362" s="1086">
        <v>17719.86</v>
      </c>
      <c r="U362" s="1086">
        <v>12269.49</v>
      </c>
      <c r="V362" s="1086">
        <v>0</v>
      </c>
      <c r="W362" s="1086">
        <v>13589.03</v>
      </c>
      <c r="X362" s="1086">
        <v>0</v>
      </c>
      <c r="Y362" s="1086">
        <v>0</v>
      </c>
      <c r="Z362" s="1086">
        <v>0</v>
      </c>
      <c r="AA362" s="1086">
        <v>791010.77</v>
      </c>
      <c r="AB362" s="1086">
        <v>0</v>
      </c>
      <c r="AC362" s="1086">
        <v>1668038.87</v>
      </c>
      <c r="AD362" s="1086" t="s">
        <v>248</v>
      </c>
      <c r="AE362" s="1086" t="s">
        <v>3877</v>
      </c>
      <c r="AF362" s="1086">
        <f t="shared" si="21"/>
        <v>1668038.8699999996</v>
      </c>
      <c r="AG362" s="1086">
        <f t="shared" si="20"/>
        <v>0</v>
      </c>
      <c r="AQ362" s="1086">
        <v>0</v>
      </c>
      <c r="AR362" s="1086">
        <v>0</v>
      </c>
      <c r="AS362" s="1086">
        <v>1668038.8700000006</v>
      </c>
      <c r="AT362" s="1086">
        <f t="shared" si="22"/>
        <v>0</v>
      </c>
      <c r="AV362" s="1150">
        <f t="shared" si="23"/>
        <v>916886.89</v>
      </c>
    </row>
    <row r="363" spans="1:48" x14ac:dyDescent="0.2">
      <c r="A363" s="19">
        <v>365</v>
      </c>
      <c r="B363" t="s">
        <v>1664</v>
      </c>
      <c r="C363" t="s">
        <v>2066</v>
      </c>
      <c r="D363" t="s">
        <v>1005</v>
      </c>
      <c r="E363" t="s">
        <v>2133</v>
      </c>
      <c r="F363" t="s">
        <v>2330</v>
      </c>
      <c r="G363" t="s">
        <v>1250</v>
      </c>
      <c r="H363" t="s">
        <v>3825</v>
      </c>
      <c r="I363">
        <v>0</v>
      </c>
      <c r="L363" t="s">
        <v>2832</v>
      </c>
      <c r="M363" s="1086">
        <v>204265.78</v>
      </c>
      <c r="N363" s="1086">
        <v>0</v>
      </c>
      <c r="O363" s="1086">
        <v>0</v>
      </c>
      <c r="P363" s="1086">
        <v>10937.5</v>
      </c>
      <c r="Q363" s="1086">
        <v>0</v>
      </c>
      <c r="R363" s="1086">
        <v>0</v>
      </c>
      <c r="S363" s="1086">
        <v>0</v>
      </c>
      <c r="T363" s="1086">
        <v>898.87</v>
      </c>
      <c r="U363" s="1086">
        <v>0</v>
      </c>
      <c r="V363" s="1086">
        <v>0</v>
      </c>
      <c r="W363" s="1086">
        <v>0</v>
      </c>
      <c r="X363" s="1086">
        <v>0</v>
      </c>
      <c r="Y363" s="1086">
        <v>0</v>
      </c>
      <c r="Z363" s="1086">
        <v>0</v>
      </c>
      <c r="AA363" s="1086">
        <v>192429.41</v>
      </c>
      <c r="AB363" s="1086">
        <v>0</v>
      </c>
      <c r="AC363" s="1086">
        <v>0</v>
      </c>
      <c r="AD363" s="1086" t="s">
        <v>248</v>
      </c>
      <c r="AE363" s="1086" t="s">
        <v>3877</v>
      </c>
      <c r="AF363" s="1086">
        <f t="shared" si="21"/>
        <v>0</v>
      </c>
      <c r="AG363" s="1086">
        <f t="shared" si="20"/>
        <v>0</v>
      </c>
      <c r="AQ363" s="1086">
        <v>0</v>
      </c>
      <c r="AR363" s="1086">
        <v>0</v>
      </c>
      <c r="AS363" s="1086">
        <v>0</v>
      </c>
      <c r="AT363" s="1086">
        <f t="shared" si="22"/>
        <v>0</v>
      </c>
      <c r="AV363" s="1150">
        <f t="shared" si="23"/>
        <v>204265.78</v>
      </c>
    </row>
    <row r="364" spans="1:48" x14ac:dyDescent="0.2">
      <c r="A364" s="19">
        <v>366</v>
      </c>
      <c r="B364" t="s">
        <v>1665</v>
      </c>
      <c r="C364" t="s">
        <v>2066</v>
      </c>
      <c r="D364" t="s">
        <v>1049</v>
      </c>
      <c r="E364" t="s">
        <v>2135</v>
      </c>
      <c r="F364" t="s">
        <v>2332</v>
      </c>
      <c r="G364" t="s">
        <v>1250</v>
      </c>
      <c r="H364" t="s">
        <v>3825</v>
      </c>
      <c r="I364">
        <v>2221</v>
      </c>
      <c r="J364" t="s">
        <v>3270</v>
      </c>
      <c r="K364" t="s">
        <v>3574</v>
      </c>
      <c r="L364" t="s">
        <v>2833</v>
      </c>
      <c r="M364" s="1086">
        <v>134229.26</v>
      </c>
      <c r="N364" s="1086">
        <v>76730.2</v>
      </c>
      <c r="O364" s="1086">
        <v>3500</v>
      </c>
      <c r="P364" s="1086">
        <v>11138.79</v>
      </c>
      <c r="Q364" s="1086">
        <v>3750</v>
      </c>
      <c r="R364" s="1086">
        <v>0</v>
      </c>
      <c r="S364" s="1086">
        <v>5352.8</v>
      </c>
      <c r="T364" s="1086">
        <v>2126.73</v>
      </c>
      <c r="U364" s="1086">
        <v>30815.78</v>
      </c>
      <c r="V364" s="1086">
        <v>0</v>
      </c>
      <c r="W364" s="1086">
        <v>0</v>
      </c>
      <c r="X364" s="1086">
        <v>1532.07</v>
      </c>
      <c r="Y364" s="1086">
        <v>0</v>
      </c>
      <c r="Z364" s="1086">
        <v>0</v>
      </c>
      <c r="AA364" s="1086">
        <v>106014.96</v>
      </c>
      <c r="AB364" s="1086">
        <v>0</v>
      </c>
      <c r="AC364" s="1086">
        <v>53728.33</v>
      </c>
      <c r="AD364" s="1086" t="s">
        <v>248</v>
      </c>
      <c r="AE364" s="1086" t="s">
        <v>3877</v>
      </c>
      <c r="AF364" s="1086">
        <f t="shared" si="21"/>
        <v>53728.330000000016</v>
      </c>
      <c r="AG364" s="1086">
        <f t="shared" si="20"/>
        <v>0</v>
      </c>
      <c r="AQ364" s="1086">
        <v>0</v>
      </c>
      <c r="AR364" s="1086">
        <v>0</v>
      </c>
      <c r="AS364" s="1086">
        <v>53728.330000000016</v>
      </c>
      <c r="AT364" s="1086">
        <f t="shared" si="22"/>
        <v>0</v>
      </c>
      <c r="AV364" s="1150">
        <f t="shared" si="23"/>
        <v>160731.13</v>
      </c>
    </row>
    <row r="365" spans="1:48" x14ac:dyDescent="0.2">
      <c r="A365" s="19">
        <v>367</v>
      </c>
      <c r="B365" t="s">
        <v>1666</v>
      </c>
      <c r="C365" t="s">
        <v>2066</v>
      </c>
      <c r="D365" t="s">
        <v>1027</v>
      </c>
      <c r="E365" t="s">
        <v>2137</v>
      </c>
      <c r="F365" t="s">
        <v>2334</v>
      </c>
      <c r="G365" t="s">
        <v>1254</v>
      </c>
      <c r="H365" t="s">
        <v>3823</v>
      </c>
      <c r="I365">
        <v>2224</v>
      </c>
      <c r="J365" t="s">
        <v>3246</v>
      </c>
      <c r="K365" t="s">
        <v>3575</v>
      </c>
      <c r="L365" t="s">
        <v>2834</v>
      </c>
      <c r="M365" s="1086">
        <v>79328.34</v>
      </c>
      <c r="N365" s="1086">
        <v>64.260000000000005</v>
      </c>
      <c r="O365" s="1086">
        <v>476972.3</v>
      </c>
      <c r="P365" s="1086">
        <v>116144.08</v>
      </c>
      <c r="Q365" s="1086">
        <v>0</v>
      </c>
      <c r="R365" s="1086">
        <v>0</v>
      </c>
      <c r="S365" s="1086">
        <v>52</v>
      </c>
      <c r="T365" s="1086">
        <v>28399.31</v>
      </c>
      <c r="U365" s="1086">
        <v>58599.76</v>
      </c>
      <c r="V365" s="1086">
        <v>0</v>
      </c>
      <c r="W365" s="1086">
        <v>0</v>
      </c>
      <c r="X365" s="1086">
        <v>5539.04</v>
      </c>
      <c r="Y365" s="1086">
        <v>-3000</v>
      </c>
      <c r="Z365" s="1086">
        <v>0</v>
      </c>
      <c r="AA365" s="1086">
        <v>120436.13</v>
      </c>
      <c r="AB365" s="1086">
        <v>0</v>
      </c>
      <c r="AC365" s="1086">
        <v>230194.58</v>
      </c>
      <c r="AD365" s="1086" t="s">
        <v>248</v>
      </c>
      <c r="AE365" s="1086" t="s">
        <v>3877</v>
      </c>
      <c r="AF365" s="1086">
        <f t="shared" si="21"/>
        <v>230194.57999999996</v>
      </c>
      <c r="AG365" s="1086">
        <f t="shared" si="20"/>
        <v>0</v>
      </c>
      <c r="AQ365" s="1086">
        <v>0</v>
      </c>
      <c r="AR365" s="1086">
        <v>0</v>
      </c>
      <c r="AS365" s="1086">
        <v>230194.58</v>
      </c>
      <c r="AT365" s="1086">
        <f t="shared" si="22"/>
        <v>0</v>
      </c>
      <c r="AV365" s="1150">
        <f t="shared" si="23"/>
        <v>326170.32000000007</v>
      </c>
    </row>
    <row r="366" spans="1:48" x14ac:dyDescent="0.2">
      <c r="A366" s="19">
        <v>368</v>
      </c>
      <c r="B366" t="s">
        <v>1667</v>
      </c>
      <c r="C366" t="s">
        <v>2066</v>
      </c>
      <c r="D366" t="s">
        <v>1028</v>
      </c>
      <c r="E366" t="s">
        <v>2231</v>
      </c>
      <c r="F366" t="s">
        <v>2425</v>
      </c>
      <c r="G366" t="s">
        <v>1250</v>
      </c>
      <c r="H366" t="s">
        <v>3825</v>
      </c>
      <c r="I366">
        <v>2221</v>
      </c>
      <c r="J366" t="s">
        <v>3255</v>
      </c>
      <c r="K366" t="s">
        <v>3576</v>
      </c>
      <c r="L366" t="s">
        <v>2835</v>
      </c>
      <c r="M366" s="1086">
        <v>753593.69</v>
      </c>
      <c r="N366" s="1086">
        <v>104220.61</v>
      </c>
      <c r="O366" s="1086">
        <v>691975.85</v>
      </c>
      <c r="P366" s="1086">
        <v>114513.89</v>
      </c>
      <c r="Q366" s="1086">
        <v>1200</v>
      </c>
      <c r="R366" s="1086">
        <v>0</v>
      </c>
      <c r="S366" s="1086">
        <v>11636.93</v>
      </c>
      <c r="T366" s="1086">
        <v>22590.07</v>
      </c>
      <c r="U366" s="1086">
        <v>134488.44</v>
      </c>
      <c r="V366" s="1086">
        <v>0</v>
      </c>
      <c r="W366" s="1086">
        <v>12074.62</v>
      </c>
      <c r="X366" s="1086">
        <v>18893.990000000002</v>
      </c>
      <c r="Y366" s="1086">
        <v>-1200</v>
      </c>
      <c r="Z366" s="1086">
        <v>0</v>
      </c>
      <c r="AA366" s="1086">
        <v>248758.77</v>
      </c>
      <c r="AB366" s="1086">
        <v>0</v>
      </c>
      <c r="AC366" s="1086">
        <v>986833.44</v>
      </c>
      <c r="AD366" s="1086" t="s">
        <v>248</v>
      </c>
      <c r="AE366" s="1086" t="s">
        <v>3877</v>
      </c>
      <c r="AF366" s="1086">
        <f t="shared" si="21"/>
        <v>986833.44</v>
      </c>
      <c r="AG366" s="1086">
        <f t="shared" si="20"/>
        <v>0</v>
      </c>
      <c r="AQ366" s="1086">
        <v>0</v>
      </c>
      <c r="AR366" s="1086">
        <v>0</v>
      </c>
      <c r="AS366" s="1086">
        <v>986833.44000000006</v>
      </c>
      <c r="AT366" s="1086">
        <f t="shared" si="22"/>
        <v>0</v>
      </c>
      <c r="AV366" s="1150">
        <f t="shared" si="23"/>
        <v>562956.71</v>
      </c>
    </row>
    <row r="367" spans="1:48" x14ac:dyDescent="0.2">
      <c r="A367" s="19">
        <v>370</v>
      </c>
      <c r="B367" t="s">
        <v>1668</v>
      </c>
      <c r="C367" t="s">
        <v>2066</v>
      </c>
      <c r="D367" t="s">
        <v>1026</v>
      </c>
      <c r="E367" t="s">
        <v>2140</v>
      </c>
      <c r="F367" t="s">
        <v>2337</v>
      </c>
      <c r="G367" t="s">
        <v>1250</v>
      </c>
      <c r="H367" t="s">
        <v>3823</v>
      </c>
      <c r="I367">
        <v>2221</v>
      </c>
      <c r="J367" t="s">
        <v>3357</v>
      </c>
      <c r="K367" t="s">
        <v>3577</v>
      </c>
      <c r="L367" t="s">
        <v>2836</v>
      </c>
      <c r="M367" s="1086">
        <v>112779.56</v>
      </c>
      <c r="N367" s="1086">
        <v>0</v>
      </c>
      <c r="O367" s="1086">
        <v>29904.400000000001</v>
      </c>
      <c r="P367" s="1086">
        <v>48694.27</v>
      </c>
      <c r="Q367" s="1086">
        <v>0</v>
      </c>
      <c r="R367" s="1086">
        <v>0</v>
      </c>
      <c r="S367" s="1086">
        <v>204.1</v>
      </c>
      <c r="T367" s="1086">
        <v>11292.14</v>
      </c>
      <c r="U367" s="1086">
        <v>3726.65</v>
      </c>
      <c r="V367" s="1086">
        <v>0</v>
      </c>
      <c r="W367" s="1086">
        <v>0</v>
      </c>
      <c r="X367" s="1086">
        <v>0</v>
      </c>
      <c r="Y367" s="1086">
        <v>0</v>
      </c>
      <c r="Z367" s="1086">
        <v>0</v>
      </c>
      <c r="AA367" s="1086">
        <v>0</v>
      </c>
      <c r="AB367" s="1086">
        <v>0</v>
      </c>
      <c r="AC367" s="1086">
        <v>78766.8</v>
      </c>
      <c r="AD367" s="1086" t="s">
        <v>248</v>
      </c>
      <c r="AE367" s="1086" t="s">
        <v>3877</v>
      </c>
      <c r="AF367" s="1086">
        <f t="shared" si="21"/>
        <v>78766.799999999988</v>
      </c>
      <c r="AG367" s="1086">
        <f t="shared" si="20"/>
        <v>0</v>
      </c>
      <c r="AQ367" s="1086">
        <v>0</v>
      </c>
      <c r="AR367" s="1086">
        <v>0</v>
      </c>
      <c r="AS367" s="1086">
        <v>78766.8</v>
      </c>
      <c r="AT367" s="1086">
        <f t="shared" si="22"/>
        <v>0</v>
      </c>
      <c r="AV367" s="1150">
        <f t="shared" si="23"/>
        <v>63917.159999999996</v>
      </c>
    </row>
    <row r="368" spans="1:48" x14ac:dyDescent="0.2">
      <c r="A368" s="19">
        <v>371</v>
      </c>
      <c r="B368" t="s">
        <v>1669</v>
      </c>
      <c r="C368" t="s">
        <v>2066</v>
      </c>
      <c r="D368" t="s">
        <v>1026</v>
      </c>
      <c r="E368" t="s">
        <v>2140</v>
      </c>
      <c r="F368" t="s">
        <v>2337</v>
      </c>
      <c r="G368" t="s">
        <v>1250</v>
      </c>
      <c r="H368" t="s">
        <v>3825</v>
      </c>
      <c r="I368">
        <v>2221</v>
      </c>
      <c r="J368" t="s">
        <v>3357</v>
      </c>
      <c r="K368">
        <v>4955</v>
      </c>
      <c r="L368" t="s">
        <v>2837</v>
      </c>
      <c r="M368" s="1086">
        <v>44021.88</v>
      </c>
      <c r="N368" s="1086">
        <v>222.95</v>
      </c>
      <c r="O368" s="1086">
        <v>685024.16</v>
      </c>
      <c r="P368" s="1086">
        <v>101015.4</v>
      </c>
      <c r="Q368" s="1086">
        <v>1499.88</v>
      </c>
      <c r="R368" s="1086">
        <v>0</v>
      </c>
      <c r="S368" s="1086">
        <v>28269.14</v>
      </c>
      <c r="T368" s="1086">
        <v>20240.169999999998</v>
      </c>
      <c r="U368" s="1086">
        <v>75568.87</v>
      </c>
      <c r="V368" s="1086">
        <v>5750</v>
      </c>
      <c r="W368" s="1086">
        <v>1701.02</v>
      </c>
      <c r="X368" s="1086">
        <v>13722.53</v>
      </c>
      <c r="Y368" s="1086">
        <v>0</v>
      </c>
      <c r="Z368" s="1086">
        <v>0</v>
      </c>
      <c r="AA368" s="1086">
        <v>370484.8</v>
      </c>
      <c r="AB368" s="1086">
        <v>0</v>
      </c>
      <c r="AC368" s="1086">
        <v>110993.18</v>
      </c>
      <c r="AD368" s="1086" t="s">
        <v>248</v>
      </c>
      <c r="AE368" s="1086" t="s">
        <v>3877</v>
      </c>
      <c r="AF368" s="1086">
        <f t="shared" si="21"/>
        <v>110993.18000000005</v>
      </c>
      <c r="AG368" s="1086">
        <f t="shared" si="20"/>
        <v>0</v>
      </c>
      <c r="AQ368" s="1086">
        <v>24</v>
      </c>
      <c r="AR368" s="1086">
        <v>0</v>
      </c>
      <c r="AS368" s="1086">
        <v>110993.18</v>
      </c>
      <c r="AT368" s="1086">
        <f t="shared" si="22"/>
        <v>0</v>
      </c>
      <c r="AV368" s="1150">
        <f t="shared" si="23"/>
        <v>618275.80999999994</v>
      </c>
    </row>
    <row r="369" spans="1:48" x14ac:dyDescent="0.2">
      <c r="A369" s="19">
        <v>372</v>
      </c>
      <c r="B369" t="s">
        <v>1670</v>
      </c>
      <c r="C369" t="s">
        <v>2066</v>
      </c>
      <c r="D369" t="s">
        <v>1026</v>
      </c>
      <c r="E369" t="s">
        <v>2140</v>
      </c>
      <c r="F369" t="s">
        <v>2337</v>
      </c>
      <c r="G369" t="s">
        <v>1250</v>
      </c>
      <c r="H369" t="s">
        <v>3823</v>
      </c>
      <c r="I369">
        <v>2224</v>
      </c>
      <c r="J369" t="s">
        <v>3357</v>
      </c>
      <c r="K369">
        <v>4964</v>
      </c>
      <c r="L369" t="s">
        <v>2838</v>
      </c>
      <c r="M369" s="1086">
        <v>2644.81</v>
      </c>
      <c r="N369" s="1086">
        <v>0</v>
      </c>
      <c r="O369" s="1086">
        <v>429.7</v>
      </c>
      <c r="P369" s="1086">
        <v>0</v>
      </c>
      <c r="Q369" s="1086">
        <v>0</v>
      </c>
      <c r="R369" s="1086">
        <v>0</v>
      </c>
      <c r="S369" s="1086">
        <v>0</v>
      </c>
      <c r="T369" s="1086">
        <v>0</v>
      </c>
      <c r="U369" s="1086">
        <v>0</v>
      </c>
      <c r="V369" s="1086">
        <v>0</v>
      </c>
      <c r="W369" s="1086">
        <v>0</v>
      </c>
      <c r="X369" s="1086">
        <v>0</v>
      </c>
      <c r="Y369" s="1086">
        <v>0</v>
      </c>
      <c r="Z369" s="1086">
        <v>0</v>
      </c>
      <c r="AA369" s="1086">
        <v>0</v>
      </c>
      <c r="AB369" s="1086">
        <v>0</v>
      </c>
      <c r="AC369" s="1086">
        <v>3074.51</v>
      </c>
      <c r="AD369" s="1086" t="s">
        <v>248</v>
      </c>
      <c r="AE369" s="1086" t="s">
        <v>3877</v>
      </c>
      <c r="AF369" s="1086">
        <f t="shared" si="21"/>
        <v>3074.5099999999998</v>
      </c>
      <c r="AG369" s="1086">
        <f t="shared" si="20"/>
        <v>0</v>
      </c>
      <c r="AQ369" s="1086">
        <v>0</v>
      </c>
      <c r="AR369" s="1086">
        <v>0</v>
      </c>
      <c r="AS369" s="1086">
        <v>3074.51</v>
      </c>
      <c r="AT369" s="1086">
        <f t="shared" si="22"/>
        <v>0</v>
      </c>
      <c r="AV369" s="1150">
        <f t="shared" si="23"/>
        <v>0</v>
      </c>
    </row>
    <row r="370" spans="1:48" x14ac:dyDescent="0.2">
      <c r="A370" s="19">
        <v>373</v>
      </c>
      <c r="B370" t="s">
        <v>1671</v>
      </c>
      <c r="C370" t="s">
        <v>2066</v>
      </c>
      <c r="D370" t="s">
        <v>1026</v>
      </c>
      <c r="E370" t="s">
        <v>2140</v>
      </c>
      <c r="F370" t="s">
        <v>2337</v>
      </c>
      <c r="G370" t="s">
        <v>1250</v>
      </c>
      <c r="H370" t="s">
        <v>3823</v>
      </c>
      <c r="I370">
        <v>2224</v>
      </c>
      <c r="J370" t="s">
        <v>3357</v>
      </c>
      <c r="K370">
        <v>4969</v>
      </c>
      <c r="L370" t="s">
        <v>2839</v>
      </c>
      <c r="M370" s="1086">
        <v>18098.59</v>
      </c>
      <c r="N370" s="1086">
        <v>0</v>
      </c>
      <c r="O370" s="1086">
        <v>3900.02</v>
      </c>
      <c r="P370" s="1086">
        <v>0</v>
      </c>
      <c r="Q370" s="1086">
        <v>0</v>
      </c>
      <c r="R370" s="1086">
        <v>0</v>
      </c>
      <c r="S370" s="1086">
        <v>0</v>
      </c>
      <c r="T370" s="1086">
        <v>4149.72</v>
      </c>
      <c r="U370" s="1086">
        <v>163.79</v>
      </c>
      <c r="V370" s="1086">
        <v>0</v>
      </c>
      <c r="W370" s="1086">
        <v>0</v>
      </c>
      <c r="X370" s="1086">
        <v>0</v>
      </c>
      <c r="Y370" s="1086">
        <v>0</v>
      </c>
      <c r="Z370" s="1086">
        <v>0</v>
      </c>
      <c r="AA370" s="1086">
        <v>0</v>
      </c>
      <c r="AB370" s="1086">
        <v>0</v>
      </c>
      <c r="AC370" s="1086">
        <v>17685.099999999999</v>
      </c>
      <c r="AD370" s="1086" t="s">
        <v>248</v>
      </c>
      <c r="AE370" s="1086" t="s">
        <v>3877</v>
      </c>
      <c r="AF370" s="1086">
        <f t="shared" si="21"/>
        <v>17685.099999999999</v>
      </c>
      <c r="AG370" s="1086">
        <f t="shared" si="20"/>
        <v>0</v>
      </c>
      <c r="AQ370" s="1086">
        <v>0</v>
      </c>
      <c r="AR370" s="1086">
        <v>0</v>
      </c>
      <c r="AS370" s="1086">
        <v>17685.099999999999</v>
      </c>
      <c r="AT370" s="1086">
        <f t="shared" si="22"/>
        <v>0</v>
      </c>
      <c r="AV370" s="1150">
        <f t="shared" si="23"/>
        <v>4313.51</v>
      </c>
    </row>
    <row r="371" spans="1:48" x14ac:dyDescent="0.2">
      <c r="A371" s="19">
        <v>374</v>
      </c>
      <c r="B371" t="s">
        <v>1672</v>
      </c>
      <c r="C371" s="167" t="s">
        <v>3907</v>
      </c>
      <c r="D371" t="s">
        <v>1026</v>
      </c>
      <c r="E371" t="s">
        <v>2140</v>
      </c>
      <c r="F371" t="s">
        <v>2337</v>
      </c>
      <c r="G371" t="s">
        <v>1250</v>
      </c>
      <c r="H371" t="s">
        <v>3823</v>
      </c>
      <c r="I371">
        <v>0</v>
      </c>
      <c r="L371" t="s">
        <v>2840</v>
      </c>
      <c r="M371" s="1086">
        <v>516704.06</v>
      </c>
      <c r="N371" s="1086">
        <v>670864.01</v>
      </c>
      <c r="O371" s="1086">
        <v>53100.34</v>
      </c>
      <c r="P371" s="1086">
        <v>0</v>
      </c>
      <c r="Q371" s="1086">
        <v>0</v>
      </c>
      <c r="R371" s="1086">
        <v>0</v>
      </c>
      <c r="S371" s="1086">
        <v>0</v>
      </c>
      <c r="T371" s="1086">
        <v>0</v>
      </c>
      <c r="U371" s="1086">
        <v>0</v>
      </c>
      <c r="V371" s="1086">
        <v>0</v>
      </c>
      <c r="W371" s="1086">
        <v>0</v>
      </c>
      <c r="X371" s="1086">
        <v>0</v>
      </c>
      <c r="Y371" s="1086">
        <v>0</v>
      </c>
      <c r="Z371" s="1086">
        <v>0</v>
      </c>
      <c r="AA371" s="1086">
        <v>992951.07</v>
      </c>
      <c r="AB371" s="1086">
        <v>0</v>
      </c>
      <c r="AC371" s="1086">
        <v>247717.34</v>
      </c>
      <c r="AD371" s="1086" t="s">
        <v>248</v>
      </c>
      <c r="AE371" s="1086" t="s">
        <v>3877</v>
      </c>
      <c r="AF371" s="1086">
        <f t="shared" si="21"/>
        <v>247717.3400000002</v>
      </c>
      <c r="AG371" s="1086">
        <f t="shared" si="20"/>
        <v>0</v>
      </c>
      <c r="AQ371" s="1086">
        <v>0</v>
      </c>
      <c r="AR371" s="1086">
        <v>0</v>
      </c>
      <c r="AS371" s="1086">
        <v>247717.34</v>
      </c>
      <c r="AT371" s="1086">
        <f t="shared" si="22"/>
        <v>0</v>
      </c>
      <c r="AV371" s="1150">
        <f t="shared" si="23"/>
        <v>992951.07</v>
      </c>
    </row>
    <row r="372" spans="1:48" x14ac:dyDescent="0.2">
      <c r="A372" s="19">
        <v>375</v>
      </c>
      <c r="B372" t="s">
        <v>1673</v>
      </c>
      <c r="C372" t="s">
        <v>2066</v>
      </c>
      <c r="D372" t="s">
        <v>1005</v>
      </c>
      <c r="E372" t="s">
        <v>2141</v>
      </c>
      <c r="F372" t="s">
        <v>2338</v>
      </c>
      <c r="G372" t="s">
        <v>1250</v>
      </c>
      <c r="H372" t="s">
        <v>3825</v>
      </c>
      <c r="I372">
        <v>2221</v>
      </c>
      <c r="J372" t="s">
        <v>3355</v>
      </c>
      <c r="K372" t="s">
        <v>3578</v>
      </c>
      <c r="L372" t="s">
        <v>2841</v>
      </c>
      <c r="M372" s="1086">
        <v>53186.61</v>
      </c>
      <c r="N372" s="1086">
        <v>0</v>
      </c>
      <c r="O372" s="1086">
        <v>63739.99</v>
      </c>
      <c r="P372" s="1086">
        <v>45732.59</v>
      </c>
      <c r="Q372" s="1086">
        <v>0</v>
      </c>
      <c r="R372" s="1086">
        <v>0</v>
      </c>
      <c r="S372" s="1086">
        <v>6337.27</v>
      </c>
      <c r="T372" s="1086">
        <v>20104.560000000001</v>
      </c>
      <c r="U372" s="1086">
        <v>5544.99</v>
      </c>
      <c r="V372" s="1086">
        <v>0</v>
      </c>
      <c r="W372" s="1086">
        <v>11593.4</v>
      </c>
      <c r="X372" s="1086">
        <v>1671.41</v>
      </c>
      <c r="Y372" s="1086">
        <v>0</v>
      </c>
      <c r="Z372" s="1086">
        <v>0</v>
      </c>
      <c r="AA372" s="1086">
        <v>5215.0200000000004</v>
      </c>
      <c r="AB372" s="1086">
        <v>0</v>
      </c>
      <c r="AC372" s="1086">
        <v>20727.36</v>
      </c>
      <c r="AD372" s="1086" t="s">
        <v>248</v>
      </c>
      <c r="AE372" s="1086" t="s">
        <v>3877</v>
      </c>
      <c r="AF372" s="1086">
        <f t="shared" si="21"/>
        <v>20727.36</v>
      </c>
      <c r="AG372" s="1086">
        <f t="shared" si="20"/>
        <v>0</v>
      </c>
      <c r="AQ372" s="1086">
        <v>0</v>
      </c>
      <c r="AR372" s="1086">
        <v>0</v>
      </c>
      <c r="AS372" s="1086">
        <v>20727.36</v>
      </c>
      <c r="AT372" s="1086">
        <f t="shared" si="22"/>
        <v>0</v>
      </c>
      <c r="AV372" s="1150">
        <f t="shared" si="23"/>
        <v>96199.24</v>
      </c>
    </row>
    <row r="373" spans="1:48" x14ac:dyDescent="0.2">
      <c r="A373" s="19">
        <v>376</v>
      </c>
      <c r="B373" t="s">
        <v>1674</v>
      </c>
      <c r="C373" t="s">
        <v>2066</v>
      </c>
      <c r="D373" t="s">
        <v>1005</v>
      </c>
      <c r="E373" t="s">
        <v>2141</v>
      </c>
      <c r="F373" t="s">
        <v>2338</v>
      </c>
      <c r="G373" t="s">
        <v>1250</v>
      </c>
      <c r="H373" t="s">
        <v>3825</v>
      </c>
      <c r="I373">
        <v>0</v>
      </c>
      <c r="L373" t="s">
        <v>2842</v>
      </c>
      <c r="M373" s="1086">
        <v>14926.47</v>
      </c>
      <c r="N373" s="1086">
        <v>0</v>
      </c>
      <c r="O373" s="1086">
        <v>29318.31</v>
      </c>
      <c r="P373" s="1086">
        <v>22316.67</v>
      </c>
      <c r="Q373" s="1086">
        <v>0</v>
      </c>
      <c r="R373" s="1086">
        <v>0</v>
      </c>
      <c r="S373" s="1086">
        <v>0</v>
      </c>
      <c r="T373" s="1086">
        <v>10796.86</v>
      </c>
      <c r="U373" s="1086">
        <v>5539.82</v>
      </c>
      <c r="V373" s="1086">
        <v>0</v>
      </c>
      <c r="W373" s="1086">
        <v>162</v>
      </c>
      <c r="X373" s="1086">
        <v>277.60000000000002</v>
      </c>
      <c r="Y373" s="1086">
        <v>0</v>
      </c>
      <c r="Z373" s="1086">
        <v>0</v>
      </c>
      <c r="AA373" s="1086">
        <v>5151.83</v>
      </c>
      <c r="AB373" s="1086">
        <v>0</v>
      </c>
      <c r="AC373" s="1086">
        <v>0</v>
      </c>
      <c r="AD373" s="1086" t="s">
        <v>248</v>
      </c>
      <c r="AE373" s="1086" t="s">
        <v>3877</v>
      </c>
      <c r="AF373" s="1086">
        <f t="shared" si="21"/>
        <v>0</v>
      </c>
      <c r="AG373" s="1086">
        <f t="shared" si="20"/>
        <v>0</v>
      </c>
      <c r="AQ373" s="1086">
        <v>0</v>
      </c>
      <c r="AR373" s="1086">
        <v>0</v>
      </c>
      <c r="AS373" s="1086">
        <v>0</v>
      </c>
      <c r="AT373" s="1086">
        <f t="shared" si="22"/>
        <v>0</v>
      </c>
      <c r="AV373" s="1150">
        <f t="shared" si="23"/>
        <v>44244.78</v>
      </c>
    </row>
    <row r="374" spans="1:48" x14ac:dyDescent="0.2">
      <c r="A374" s="19">
        <v>377</v>
      </c>
      <c r="B374" t="s">
        <v>1675</v>
      </c>
      <c r="C374" t="s">
        <v>2066</v>
      </c>
      <c r="D374" t="s">
        <v>1027</v>
      </c>
      <c r="E374" t="s">
        <v>2144</v>
      </c>
      <c r="F374" t="s">
        <v>2341</v>
      </c>
      <c r="G374" t="s">
        <v>1254</v>
      </c>
      <c r="H374" t="s">
        <v>3823</v>
      </c>
      <c r="I374">
        <v>2221</v>
      </c>
      <c r="J374" t="s">
        <v>3246</v>
      </c>
      <c r="K374" t="s">
        <v>3579</v>
      </c>
      <c r="L374" t="s">
        <v>2843</v>
      </c>
      <c r="M374" s="1086">
        <v>258170.78</v>
      </c>
      <c r="N374" s="1086">
        <v>128001.77</v>
      </c>
      <c r="O374" s="1086">
        <v>12543.28</v>
      </c>
      <c r="P374" s="1086">
        <v>0</v>
      </c>
      <c r="Q374" s="1086">
        <v>0</v>
      </c>
      <c r="R374" s="1086">
        <v>0</v>
      </c>
      <c r="S374" s="1086">
        <v>92315.05</v>
      </c>
      <c r="T374" s="1086">
        <v>15320.77</v>
      </c>
      <c r="U374" s="1086">
        <v>53935.58</v>
      </c>
      <c r="V374" s="1086">
        <v>0</v>
      </c>
      <c r="W374" s="1086">
        <v>0</v>
      </c>
      <c r="X374" s="1086">
        <v>1049.8499999999999</v>
      </c>
      <c r="Y374" s="1086">
        <v>-7874.25</v>
      </c>
      <c r="Z374" s="1086">
        <v>0</v>
      </c>
      <c r="AA374" s="1086">
        <v>5468.19</v>
      </c>
      <c r="AB374" s="1086">
        <v>0</v>
      </c>
      <c r="AC374" s="1086">
        <v>238500.64</v>
      </c>
      <c r="AD374" s="1086" t="s">
        <v>248</v>
      </c>
      <c r="AE374" s="1086" t="s">
        <v>3877</v>
      </c>
      <c r="AF374" s="1086">
        <f t="shared" si="21"/>
        <v>238500.63999999998</v>
      </c>
      <c r="AG374" s="1086">
        <f t="shared" si="20"/>
        <v>0</v>
      </c>
      <c r="AQ374" s="1086">
        <v>0</v>
      </c>
      <c r="AR374" s="1086">
        <v>0</v>
      </c>
      <c r="AS374" s="1086">
        <v>238500.63999999984</v>
      </c>
      <c r="AT374" s="1086">
        <f t="shared" si="22"/>
        <v>0</v>
      </c>
      <c r="AV374" s="1150">
        <f t="shared" si="23"/>
        <v>160215.19000000003</v>
      </c>
    </row>
    <row r="375" spans="1:48" x14ac:dyDescent="0.2">
      <c r="A375" s="19">
        <v>378</v>
      </c>
      <c r="B375" t="s">
        <v>1676</v>
      </c>
      <c r="C375" t="s">
        <v>2066</v>
      </c>
      <c r="D375" t="s">
        <v>1027</v>
      </c>
      <c r="E375" t="s">
        <v>2146</v>
      </c>
      <c r="F375" t="s">
        <v>2343</v>
      </c>
      <c r="G375" t="s">
        <v>1254</v>
      </c>
      <c r="H375" t="s">
        <v>3825</v>
      </c>
      <c r="I375">
        <v>2221</v>
      </c>
      <c r="J375" t="s">
        <v>3246</v>
      </c>
      <c r="K375" t="s">
        <v>3580</v>
      </c>
      <c r="L375" t="s">
        <v>2844</v>
      </c>
      <c r="M375" s="1086">
        <v>3254373.24</v>
      </c>
      <c r="N375" s="1086">
        <v>3871757.99</v>
      </c>
      <c r="O375" s="1086">
        <v>56637.29</v>
      </c>
      <c r="P375" s="1086">
        <v>148632.5</v>
      </c>
      <c r="Q375" s="1086">
        <v>0</v>
      </c>
      <c r="R375" s="1086">
        <v>0</v>
      </c>
      <c r="S375" s="1086">
        <v>0</v>
      </c>
      <c r="T375" s="1086">
        <v>20769.96</v>
      </c>
      <c r="U375" s="1086">
        <v>304734.89</v>
      </c>
      <c r="V375" s="1086">
        <v>0</v>
      </c>
      <c r="W375" s="1086">
        <v>0</v>
      </c>
      <c r="X375" s="1086">
        <v>19730.150000000001</v>
      </c>
      <c r="Y375" s="1086">
        <v>0</v>
      </c>
      <c r="Z375" s="1086">
        <v>0</v>
      </c>
      <c r="AA375" s="1086">
        <v>3578057.07</v>
      </c>
      <c r="AB375" s="1086">
        <v>592750</v>
      </c>
      <c r="AC375" s="1086">
        <v>2518093.9500000002</v>
      </c>
      <c r="AD375" s="1086" t="s">
        <v>248</v>
      </c>
      <c r="AE375" s="1086" t="s">
        <v>3877</v>
      </c>
      <c r="AF375" s="1086">
        <f t="shared" si="21"/>
        <v>2518093.9500000002</v>
      </c>
      <c r="AG375" s="1086">
        <f t="shared" si="20"/>
        <v>0</v>
      </c>
      <c r="AQ375" s="1086">
        <v>0</v>
      </c>
      <c r="AR375" s="1086">
        <v>0</v>
      </c>
      <c r="AS375" s="1086">
        <v>2518093.950000003</v>
      </c>
      <c r="AT375" s="1086">
        <f t="shared" si="22"/>
        <v>0</v>
      </c>
      <c r="AV375" s="1150">
        <f t="shared" si="23"/>
        <v>4664674.57</v>
      </c>
    </row>
    <row r="376" spans="1:48" x14ac:dyDescent="0.2">
      <c r="A376" s="19">
        <v>379</v>
      </c>
      <c r="B376" t="s">
        <v>1677</v>
      </c>
      <c r="C376" t="s">
        <v>2066</v>
      </c>
      <c r="D376" t="s">
        <v>1041</v>
      </c>
      <c r="E376" t="s">
        <v>2232</v>
      </c>
      <c r="F376" t="s">
        <v>2426</v>
      </c>
      <c r="G376" t="s">
        <v>1250</v>
      </c>
      <c r="H376" t="s">
        <v>3823</v>
      </c>
      <c r="I376">
        <v>2221</v>
      </c>
      <c r="J376" t="s">
        <v>3255</v>
      </c>
      <c r="K376">
        <v>5679</v>
      </c>
      <c r="L376" t="s">
        <v>2845</v>
      </c>
      <c r="M376" s="1086">
        <v>339139.06</v>
      </c>
      <c r="N376" s="1086">
        <v>8308.0400000000009</v>
      </c>
      <c r="O376" s="1086">
        <v>27745.17</v>
      </c>
      <c r="P376" s="1086">
        <v>13526.48</v>
      </c>
      <c r="Q376" s="1086">
        <v>0</v>
      </c>
      <c r="R376" s="1086">
        <v>0</v>
      </c>
      <c r="S376" s="1086">
        <v>8732.5</v>
      </c>
      <c r="T376" s="1086">
        <v>19188.78</v>
      </c>
      <c r="U376" s="1086">
        <v>4165.53</v>
      </c>
      <c r="V376" s="1086">
        <v>0</v>
      </c>
      <c r="W376" s="1086">
        <v>0</v>
      </c>
      <c r="X376" s="1086">
        <v>871.17</v>
      </c>
      <c r="Y376" s="1086">
        <v>0</v>
      </c>
      <c r="Z376" s="1086">
        <v>0</v>
      </c>
      <c r="AA376" s="1086">
        <v>3040.03</v>
      </c>
      <c r="AB376" s="1086">
        <v>0</v>
      </c>
      <c r="AC376" s="1086">
        <v>325667.78000000003</v>
      </c>
      <c r="AD376" s="1086" t="s">
        <v>248</v>
      </c>
      <c r="AE376" s="1086" t="s">
        <v>3877</v>
      </c>
      <c r="AF376" s="1086">
        <f t="shared" si="21"/>
        <v>325667.77999999997</v>
      </c>
      <c r="AG376" s="1086">
        <f t="shared" si="20"/>
        <v>0</v>
      </c>
      <c r="AQ376" s="1086">
        <v>0</v>
      </c>
      <c r="AR376" s="1086">
        <v>0</v>
      </c>
      <c r="AS376" s="1086">
        <v>325667.78000000003</v>
      </c>
      <c r="AT376" s="1086">
        <f t="shared" si="22"/>
        <v>0</v>
      </c>
      <c r="AV376" s="1150">
        <f t="shared" si="23"/>
        <v>49524.489999999991</v>
      </c>
    </row>
    <row r="377" spans="1:48" x14ac:dyDescent="0.2">
      <c r="A377" s="19">
        <v>380</v>
      </c>
      <c r="B377" t="s">
        <v>1678</v>
      </c>
      <c r="C377" t="s">
        <v>2066</v>
      </c>
      <c r="D377" t="s">
        <v>1041</v>
      </c>
      <c r="E377" t="s">
        <v>2232</v>
      </c>
      <c r="F377" t="s">
        <v>2426</v>
      </c>
      <c r="G377" t="s">
        <v>1250</v>
      </c>
      <c r="H377" t="s">
        <v>3823</v>
      </c>
      <c r="I377">
        <v>2221</v>
      </c>
      <c r="J377" t="s">
        <v>3255</v>
      </c>
      <c r="K377">
        <v>5479</v>
      </c>
      <c r="L377" t="s">
        <v>2846</v>
      </c>
      <c r="M377" s="1086">
        <v>1127175.73</v>
      </c>
      <c r="N377" s="1086">
        <v>357947.65</v>
      </c>
      <c r="O377" s="1086">
        <v>411942.92</v>
      </c>
      <c r="P377" s="1086">
        <v>65246.93</v>
      </c>
      <c r="Q377" s="1086">
        <v>250</v>
      </c>
      <c r="R377" s="1086">
        <v>2387.3200000000002</v>
      </c>
      <c r="S377" s="1086">
        <v>11021.22</v>
      </c>
      <c r="T377" s="1086">
        <v>7366.1</v>
      </c>
      <c r="U377" s="1086">
        <v>33433.57</v>
      </c>
      <c r="V377" s="1086">
        <v>0</v>
      </c>
      <c r="W377" s="1086">
        <v>0</v>
      </c>
      <c r="X377" s="1086">
        <v>5599.77</v>
      </c>
      <c r="Y377" s="1086">
        <v>0</v>
      </c>
      <c r="Z377" s="1086">
        <v>0</v>
      </c>
      <c r="AA377" s="1086">
        <v>253731.37</v>
      </c>
      <c r="AB377" s="1086">
        <v>0</v>
      </c>
      <c r="AC377" s="1086">
        <v>1517405.02</v>
      </c>
      <c r="AD377" s="1086" t="s">
        <v>248</v>
      </c>
      <c r="AE377" s="1086" t="s">
        <v>3877</v>
      </c>
      <c r="AF377" s="1086">
        <f t="shared" si="21"/>
        <v>1517405.0199999998</v>
      </c>
      <c r="AG377" s="1086">
        <f t="shared" si="20"/>
        <v>0</v>
      </c>
      <c r="AQ377" s="1086">
        <v>625</v>
      </c>
      <c r="AR377" s="1086">
        <v>0</v>
      </c>
      <c r="AS377" s="1086">
        <v>1517405.0199999998</v>
      </c>
      <c r="AT377" s="1086">
        <f t="shared" si="22"/>
        <v>0</v>
      </c>
      <c r="AV377" s="1150">
        <f t="shared" si="23"/>
        <v>379661.28</v>
      </c>
    </row>
    <row r="378" spans="1:48" x14ac:dyDescent="0.2">
      <c r="A378" s="19">
        <v>382</v>
      </c>
      <c r="B378" t="s">
        <v>1679</v>
      </c>
      <c r="C378" t="s">
        <v>2066</v>
      </c>
      <c r="D378" t="s">
        <v>1046</v>
      </c>
      <c r="E378" t="s">
        <v>2152</v>
      </c>
      <c r="F378" t="s">
        <v>2349</v>
      </c>
      <c r="G378" t="s">
        <v>1250</v>
      </c>
      <c r="H378" t="s">
        <v>3825</v>
      </c>
      <c r="I378">
        <v>2221</v>
      </c>
      <c r="J378" t="s">
        <v>3398</v>
      </c>
      <c r="K378">
        <v>6941</v>
      </c>
      <c r="L378" t="s">
        <v>2847</v>
      </c>
      <c r="M378" s="1086">
        <v>525846.30000000005</v>
      </c>
      <c r="N378" s="1086">
        <v>330362</v>
      </c>
      <c r="O378" s="1086">
        <v>0</v>
      </c>
      <c r="P378" s="1086">
        <v>138200.1</v>
      </c>
      <c r="Q378" s="1086">
        <v>0</v>
      </c>
      <c r="R378" s="1086">
        <v>0</v>
      </c>
      <c r="S378" s="1086">
        <v>24135.85</v>
      </c>
      <c r="T378" s="1086">
        <v>-39845.660000000003</v>
      </c>
      <c r="U378" s="1086">
        <v>257177.89</v>
      </c>
      <c r="V378" s="1086">
        <v>0</v>
      </c>
      <c r="W378" s="1086">
        <v>0</v>
      </c>
      <c r="X378" s="1086">
        <v>0</v>
      </c>
      <c r="Y378" s="1086">
        <v>0</v>
      </c>
      <c r="Z378" s="1086">
        <v>0</v>
      </c>
      <c r="AA378" s="1086">
        <v>11857.62</v>
      </c>
      <c r="AB378" s="1086">
        <v>0</v>
      </c>
      <c r="AC378" s="1086">
        <v>464682.5</v>
      </c>
      <c r="AD378" s="1086" t="s">
        <v>248</v>
      </c>
      <c r="AE378" s="1086" t="s">
        <v>3877</v>
      </c>
      <c r="AF378" s="1086">
        <f t="shared" si="21"/>
        <v>464682.5</v>
      </c>
      <c r="AG378" s="1086">
        <f t="shared" si="20"/>
        <v>0</v>
      </c>
      <c r="AQ378" s="1086">
        <v>0</v>
      </c>
      <c r="AR378" s="1086">
        <v>0</v>
      </c>
      <c r="AS378" s="1086">
        <v>464682.49999999884</v>
      </c>
      <c r="AT378" s="1086">
        <f t="shared" si="22"/>
        <v>1.1641532182693481E-9</v>
      </c>
      <c r="AV378" s="1150">
        <f t="shared" si="23"/>
        <v>391525.80000000005</v>
      </c>
    </row>
    <row r="379" spans="1:48" x14ac:dyDescent="0.2">
      <c r="A379" s="19">
        <v>383</v>
      </c>
      <c r="B379" t="s">
        <v>1680</v>
      </c>
      <c r="C379" t="s">
        <v>2066</v>
      </c>
      <c r="D379" t="s">
        <v>1038</v>
      </c>
      <c r="E379" t="s">
        <v>2233</v>
      </c>
      <c r="F379" t="s">
        <v>2427</v>
      </c>
      <c r="G379" t="s">
        <v>1250</v>
      </c>
      <c r="H379" t="s">
        <v>3825</v>
      </c>
      <c r="I379">
        <v>2221</v>
      </c>
      <c r="J379" t="s">
        <v>3581</v>
      </c>
      <c r="K379">
        <v>3276</v>
      </c>
      <c r="L379" t="s">
        <v>2848</v>
      </c>
      <c r="M379" s="1086">
        <v>104699.29</v>
      </c>
      <c r="N379" s="1086">
        <v>0</v>
      </c>
      <c r="O379" s="1086">
        <v>0</v>
      </c>
      <c r="P379" s="1086">
        <v>56457.919999999998</v>
      </c>
      <c r="Q379" s="1086">
        <v>0</v>
      </c>
      <c r="R379" s="1086">
        <v>0</v>
      </c>
      <c r="S379" s="1086">
        <v>715.5</v>
      </c>
      <c r="T379" s="1086">
        <v>3109</v>
      </c>
      <c r="U379" s="1086">
        <v>15040.15</v>
      </c>
      <c r="V379" s="1086">
        <v>0</v>
      </c>
      <c r="W379" s="1086">
        <v>0</v>
      </c>
      <c r="X379" s="1086">
        <v>0</v>
      </c>
      <c r="Y379" s="1086">
        <v>0</v>
      </c>
      <c r="Z379" s="1086">
        <v>0</v>
      </c>
      <c r="AA379" s="1086">
        <v>-45.24</v>
      </c>
      <c r="AB379" s="1086">
        <v>0</v>
      </c>
      <c r="AC379" s="1086">
        <v>29421.96</v>
      </c>
      <c r="AD379" s="1086" t="s">
        <v>248</v>
      </c>
      <c r="AE379" s="1086" t="s">
        <v>3877</v>
      </c>
      <c r="AF379" s="1086">
        <f t="shared" si="21"/>
        <v>29421.960000000006</v>
      </c>
      <c r="AG379" s="1086">
        <f t="shared" si="20"/>
        <v>0</v>
      </c>
      <c r="AQ379" s="1086">
        <v>0</v>
      </c>
      <c r="AR379" s="1086">
        <v>0</v>
      </c>
      <c r="AS379" s="1086">
        <v>29421.96</v>
      </c>
      <c r="AT379" s="1086">
        <f t="shared" si="22"/>
        <v>0</v>
      </c>
      <c r="AV379" s="1150">
        <f t="shared" si="23"/>
        <v>75277.329999999987</v>
      </c>
    </row>
    <row r="380" spans="1:48" x14ac:dyDescent="0.2">
      <c r="A380" s="19">
        <v>385</v>
      </c>
      <c r="B380" t="s">
        <v>1681</v>
      </c>
      <c r="C380" t="s">
        <v>2066</v>
      </c>
      <c r="D380" t="s">
        <v>1043</v>
      </c>
      <c r="E380" t="s">
        <v>2159</v>
      </c>
      <c r="F380" t="s">
        <v>2356</v>
      </c>
      <c r="G380" t="s">
        <v>1250</v>
      </c>
      <c r="H380" t="s">
        <v>3822</v>
      </c>
      <c r="I380">
        <v>2221</v>
      </c>
      <c r="J380" t="s">
        <v>3417</v>
      </c>
      <c r="K380">
        <v>4191</v>
      </c>
      <c r="L380" t="s">
        <v>2849</v>
      </c>
      <c r="M380" s="1086">
        <v>198256.24</v>
      </c>
      <c r="N380" s="1086">
        <v>2564.5</v>
      </c>
      <c r="O380" s="1086">
        <v>200000</v>
      </c>
      <c r="P380" s="1086">
        <v>98009.02</v>
      </c>
      <c r="Q380" s="1086">
        <v>4125</v>
      </c>
      <c r="R380" s="1086">
        <v>0</v>
      </c>
      <c r="S380" s="1086">
        <v>4063.18</v>
      </c>
      <c r="T380" s="1086">
        <v>11718.58</v>
      </c>
      <c r="U380" s="1086">
        <v>83805.94</v>
      </c>
      <c r="V380" s="1086">
        <v>0</v>
      </c>
      <c r="W380" s="1086">
        <v>57645.4</v>
      </c>
      <c r="X380" s="1086">
        <v>39183.1</v>
      </c>
      <c r="Y380" s="1086">
        <v>0</v>
      </c>
      <c r="Z380" s="1086">
        <v>0</v>
      </c>
      <c r="AA380" s="1086">
        <v>37898.54</v>
      </c>
      <c r="AB380" s="1086">
        <v>0</v>
      </c>
      <c r="AC380" s="1086">
        <v>64371.98</v>
      </c>
      <c r="AD380" s="1086" t="s">
        <v>248</v>
      </c>
      <c r="AE380" s="1086" t="s">
        <v>3877</v>
      </c>
      <c r="AF380" s="1086">
        <f t="shared" si="21"/>
        <v>64371.98000000004</v>
      </c>
      <c r="AG380" s="1086">
        <f t="shared" si="20"/>
        <v>0</v>
      </c>
      <c r="AQ380" s="1086">
        <v>0</v>
      </c>
      <c r="AR380" s="1086">
        <v>0</v>
      </c>
      <c r="AS380" s="1086">
        <v>64367.430000000008</v>
      </c>
      <c r="AT380" s="1086">
        <f t="shared" si="22"/>
        <v>4.5499999999956344</v>
      </c>
      <c r="AU380" s="167" t="s">
        <v>3915</v>
      </c>
      <c r="AV380" s="1150">
        <f t="shared" si="23"/>
        <v>336448.75999999995</v>
      </c>
    </row>
    <row r="381" spans="1:48" x14ac:dyDescent="0.2">
      <c r="A381" s="19">
        <v>386</v>
      </c>
      <c r="B381" t="s">
        <v>1682</v>
      </c>
      <c r="C381" t="s">
        <v>2066</v>
      </c>
      <c r="D381" t="s">
        <v>1041</v>
      </c>
      <c r="E381" t="s">
        <v>2234</v>
      </c>
      <c r="F381" t="s">
        <v>2428</v>
      </c>
      <c r="G381" t="s">
        <v>1250</v>
      </c>
      <c r="H381" t="s">
        <v>3823</v>
      </c>
      <c r="I381" t="s">
        <v>3841</v>
      </c>
      <c r="J381" t="s">
        <v>3255</v>
      </c>
      <c r="K381" t="s">
        <v>3582</v>
      </c>
      <c r="L381" t="s">
        <v>2850</v>
      </c>
      <c r="M381" s="1086">
        <v>129865.9</v>
      </c>
      <c r="N381" s="1086">
        <v>1390.33</v>
      </c>
      <c r="O381" s="1086">
        <v>62366.25</v>
      </c>
      <c r="P381" s="1086">
        <v>6200</v>
      </c>
      <c r="Q381" s="1086">
        <v>0</v>
      </c>
      <c r="R381" s="1086">
        <v>0</v>
      </c>
      <c r="S381" s="1086">
        <v>421.29</v>
      </c>
      <c r="T381" s="1086">
        <v>1598.26</v>
      </c>
      <c r="U381" s="1086">
        <v>30121.88</v>
      </c>
      <c r="V381" s="1086">
        <v>0</v>
      </c>
      <c r="W381" s="1086">
        <v>0</v>
      </c>
      <c r="X381" s="1086">
        <v>0</v>
      </c>
      <c r="Y381" s="1086">
        <v>0</v>
      </c>
      <c r="Z381" s="1086">
        <v>0</v>
      </c>
      <c r="AA381" s="1086">
        <v>48.66</v>
      </c>
      <c r="AB381" s="1086">
        <v>0</v>
      </c>
      <c r="AC381" s="1086">
        <v>155232.39000000001</v>
      </c>
      <c r="AD381" s="1086" t="s">
        <v>248</v>
      </c>
      <c r="AE381" s="1086" t="s">
        <v>3877</v>
      </c>
      <c r="AF381" s="1086">
        <f t="shared" si="21"/>
        <v>155232.38999999998</v>
      </c>
      <c r="AG381" s="1086">
        <f t="shared" si="20"/>
        <v>0</v>
      </c>
      <c r="AQ381" s="1086">
        <v>0</v>
      </c>
      <c r="AR381" s="1086">
        <v>0</v>
      </c>
      <c r="AS381" s="1086">
        <v>155232.39000000001</v>
      </c>
      <c r="AT381" s="1086">
        <f t="shared" si="22"/>
        <v>0</v>
      </c>
      <c r="AV381" s="1150">
        <f t="shared" si="23"/>
        <v>38390.090000000004</v>
      </c>
    </row>
    <row r="382" spans="1:48" x14ac:dyDescent="0.2">
      <c r="A382" s="19">
        <v>387</v>
      </c>
      <c r="B382" t="s">
        <v>1683</v>
      </c>
      <c r="C382" t="s">
        <v>2066</v>
      </c>
      <c r="D382" t="s">
        <v>1041</v>
      </c>
      <c r="E382" t="s">
        <v>2234</v>
      </c>
      <c r="F382" t="s">
        <v>2428</v>
      </c>
      <c r="G382" t="s">
        <v>1250</v>
      </c>
      <c r="H382" t="s">
        <v>3823</v>
      </c>
      <c r="I382" t="s">
        <v>3841</v>
      </c>
      <c r="J382" t="s">
        <v>3255</v>
      </c>
      <c r="K382" t="s">
        <v>3583</v>
      </c>
      <c r="L382" t="s">
        <v>2851</v>
      </c>
      <c r="M382" s="1086">
        <v>356003.81</v>
      </c>
      <c r="N382" s="1086">
        <v>88.45</v>
      </c>
      <c r="O382" s="1086">
        <v>90896.73</v>
      </c>
      <c r="P382" s="1086">
        <v>2603.75</v>
      </c>
      <c r="Q382" s="1086">
        <v>0</v>
      </c>
      <c r="R382" s="1086">
        <v>0</v>
      </c>
      <c r="S382" s="1086">
        <v>10265.280000000001</v>
      </c>
      <c r="T382" s="1086">
        <v>1686.39</v>
      </c>
      <c r="U382" s="1086">
        <v>13798.95</v>
      </c>
      <c r="V382" s="1086">
        <v>0</v>
      </c>
      <c r="W382" s="1086">
        <v>0</v>
      </c>
      <c r="X382" s="1086">
        <v>9012.66</v>
      </c>
      <c r="Y382" s="1086">
        <v>-750</v>
      </c>
      <c r="Z382" s="1086">
        <v>0</v>
      </c>
      <c r="AA382" s="1086">
        <v>1178.5999999999999</v>
      </c>
      <c r="AB382" s="1086">
        <v>0</v>
      </c>
      <c r="AC382" s="1086">
        <v>409193.36</v>
      </c>
      <c r="AD382" s="1086" t="s">
        <v>248</v>
      </c>
      <c r="AE382" s="1086" t="s">
        <v>3877</v>
      </c>
      <c r="AF382" s="1086">
        <f t="shared" si="21"/>
        <v>409193.36</v>
      </c>
      <c r="AG382" s="1086">
        <f t="shared" ref="AG382:AG442" si="24">AC382-AF382</f>
        <v>0</v>
      </c>
      <c r="AQ382" s="1086">
        <v>0</v>
      </c>
      <c r="AR382" s="1086">
        <v>0</v>
      </c>
      <c r="AS382" s="1086">
        <v>409193.36</v>
      </c>
      <c r="AT382" s="1086">
        <f t="shared" si="22"/>
        <v>0</v>
      </c>
      <c r="AV382" s="1150">
        <f t="shared" si="23"/>
        <v>37795.629999999997</v>
      </c>
    </row>
    <row r="383" spans="1:48" x14ac:dyDescent="0.2">
      <c r="A383" s="19">
        <v>388</v>
      </c>
      <c r="B383" t="s">
        <v>1684</v>
      </c>
      <c r="C383" t="s">
        <v>2066</v>
      </c>
      <c r="D383" t="s">
        <v>1005</v>
      </c>
      <c r="E383" t="s">
        <v>2161</v>
      </c>
      <c r="F383" t="s">
        <v>2358</v>
      </c>
      <c r="G383" t="s">
        <v>1250</v>
      </c>
      <c r="H383" t="s">
        <v>3822</v>
      </c>
      <c r="I383">
        <v>2221</v>
      </c>
      <c r="J383" t="s">
        <v>3355</v>
      </c>
      <c r="K383" t="s">
        <v>3584</v>
      </c>
      <c r="L383" t="s">
        <v>2852</v>
      </c>
      <c r="M383" s="1086">
        <v>19513.12</v>
      </c>
      <c r="N383" s="1086">
        <v>0</v>
      </c>
      <c r="O383" s="1086">
        <v>70167.520000000004</v>
      </c>
      <c r="P383" s="1086">
        <v>4029.16</v>
      </c>
      <c r="Q383" s="1086">
        <v>2437.5</v>
      </c>
      <c r="R383" s="1086">
        <v>0</v>
      </c>
      <c r="S383" s="1086">
        <v>7536</v>
      </c>
      <c r="T383" s="1086">
        <v>4050.63</v>
      </c>
      <c r="U383" s="1086">
        <v>28943.62</v>
      </c>
      <c r="V383" s="1086">
        <v>0</v>
      </c>
      <c r="W383" s="1086">
        <v>1275.18</v>
      </c>
      <c r="X383" s="1086">
        <v>7853.51</v>
      </c>
      <c r="Y383" s="1086">
        <v>-750</v>
      </c>
      <c r="Z383" s="1086">
        <v>0</v>
      </c>
      <c r="AA383" s="1086">
        <v>0</v>
      </c>
      <c r="AB383" s="1086">
        <v>0</v>
      </c>
      <c r="AC383" s="1086">
        <v>34305.040000000001</v>
      </c>
      <c r="AD383" s="1086" t="s">
        <v>248</v>
      </c>
      <c r="AE383" s="1086" t="s">
        <v>3877</v>
      </c>
      <c r="AF383" s="1086">
        <f t="shared" si="21"/>
        <v>34305.039999999994</v>
      </c>
      <c r="AG383" s="1086">
        <f t="shared" si="24"/>
        <v>0</v>
      </c>
      <c r="AQ383" s="1086">
        <v>0</v>
      </c>
      <c r="AR383" s="1086">
        <v>0</v>
      </c>
      <c r="AS383" s="1086">
        <v>34305.040000000001</v>
      </c>
      <c r="AT383" s="1086">
        <f t="shared" si="22"/>
        <v>0</v>
      </c>
      <c r="AV383" s="1150">
        <f t="shared" si="23"/>
        <v>55375.600000000006</v>
      </c>
    </row>
    <row r="384" spans="1:48" x14ac:dyDescent="0.2">
      <c r="A384" s="19">
        <v>389</v>
      </c>
      <c r="B384" t="s">
        <v>1685</v>
      </c>
      <c r="C384" t="s">
        <v>2066</v>
      </c>
      <c r="D384" t="s">
        <v>1005</v>
      </c>
      <c r="E384" t="s">
        <v>2161</v>
      </c>
      <c r="F384" t="s">
        <v>2358</v>
      </c>
      <c r="G384" t="s">
        <v>1250</v>
      </c>
      <c r="H384" t="s">
        <v>3825</v>
      </c>
      <c r="I384">
        <v>2221</v>
      </c>
      <c r="J384" t="s">
        <v>3355</v>
      </c>
      <c r="K384" t="s">
        <v>3585</v>
      </c>
      <c r="L384" t="s">
        <v>2853</v>
      </c>
      <c r="M384" s="1086">
        <v>28484.84</v>
      </c>
      <c r="N384" s="1086">
        <v>0</v>
      </c>
      <c r="O384" s="1086">
        <v>88386.41</v>
      </c>
      <c r="P384" s="1086">
        <v>9026.34</v>
      </c>
      <c r="Q384" s="1086">
        <v>0</v>
      </c>
      <c r="R384" s="1086">
        <v>0</v>
      </c>
      <c r="S384" s="1086">
        <v>4443.7</v>
      </c>
      <c r="T384" s="1086">
        <v>2530.37</v>
      </c>
      <c r="U384" s="1086">
        <v>11751.52</v>
      </c>
      <c r="V384" s="1086">
        <v>0</v>
      </c>
      <c r="W384" s="1086">
        <v>3939.89</v>
      </c>
      <c r="X384" s="1086">
        <v>3057.16</v>
      </c>
      <c r="Y384" s="1086">
        <v>0</v>
      </c>
      <c r="Z384" s="1086">
        <v>0</v>
      </c>
      <c r="AA384" s="1086">
        <v>36250</v>
      </c>
      <c r="AB384" s="1086">
        <v>0</v>
      </c>
      <c r="AC384" s="1086">
        <v>45872.27</v>
      </c>
      <c r="AD384" s="1086" t="s">
        <v>248</v>
      </c>
      <c r="AE384" s="1086" t="s">
        <v>3877</v>
      </c>
      <c r="AF384" s="1086">
        <f t="shared" si="21"/>
        <v>45872.270000000004</v>
      </c>
      <c r="AG384" s="1086">
        <f t="shared" si="24"/>
        <v>0</v>
      </c>
      <c r="AQ384" s="1086">
        <v>0</v>
      </c>
      <c r="AR384" s="1086">
        <v>0</v>
      </c>
      <c r="AS384" s="1086">
        <v>45872.27</v>
      </c>
      <c r="AT384" s="1086">
        <f t="shared" si="22"/>
        <v>0</v>
      </c>
      <c r="AV384" s="1150">
        <f t="shared" si="23"/>
        <v>70998.98</v>
      </c>
    </row>
    <row r="385" spans="1:48" x14ac:dyDescent="0.2">
      <c r="A385" s="19">
        <v>390</v>
      </c>
      <c r="B385" t="s">
        <v>1686</v>
      </c>
      <c r="C385" t="s">
        <v>2066</v>
      </c>
      <c r="D385" t="s">
        <v>1005</v>
      </c>
      <c r="E385" t="s">
        <v>2161</v>
      </c>
      <c r="F385" t="s">
        <v>2358</v>
      </c>
      <c r="G385" t="s">
        <v>1250</v>
      </c>
      <c r="H385" t="s">
        <v>3823</v>
      </c>
      <c r="I385">
        <v>2221</v>
      </c>
      <c r="J385" t="s">
        <v>3355</v>
      </c>
      <c r="K385" t="s">
        <v>3586</v>
      </c>
      <c r="L385" t="s">
        <v>2854</v>
      </c>
      <c r="M385" s="1086">
        <v>26358.03</v>
      </c>
      <c r="N385" s="1086">
        <v>0</v>
      </c>
      <c r="O385" s="1086">
        <v>24509.96</v>
      </c>
      <c r="P385" s="1086">
        <v>0</v>
      </c>
      <c r="Q385" s="1086">
        <v>0</v>
      </c>
      <c r="R385" s="1086">
        <v>0</v>
      </c>
      <c r="S385" s="1086">
        <v>0</v>
      </c>
      <c r="T385" s="1086">
        <v>0</v>
      </c>
      <c r="U385" s="1086">
        <v>913.17</v>
      </c>
      <c r="V385" s="1086">
        <v>0</v>
      </c>
      <c r="W385" s="1086">
        <v>0</v>
      </c>
      <c r="X385" s="1086">
        <v>8859.31</v>
      </c>
      <c r="Y385" s="1086">
        <v>0</v>
      </c>
      <c r="Z385" s="1086">
        <v>0</v>
      </c>
      <c r="AA385" s="1086">
        <v>0</v>
      </c>
      <c r="AB385" s="1086">
        <v>0</v>
      </c>
      <c r="AC385" s="1086">
        <v>41095.51</v>
      </c>
      <c r="AD385" s="1086" t="s">
        <v>248</v>
      </c>
      <c r="AE385" s="1086" t="s">
        <v>3877</v>
      </c>
      <c r="AF385" s="1086">
        <f t="shared" si="21"/>
        <v>41095.509999999995</v>
      </c>
      <c r="AG385" s="1086">
        <f t="shared" si="24"/>
        <v>0</v>
      </c>
      <c r="AQ385" s="1086">
        <v>0</v>
      </c>
      <c r="AR385" s="1086">
        <v>0</v>
      </c>
      <c r="AS385" s="1086">
        <v>41095.51</v>
      </c>
      <c r="AT385" s="1086">
        <f t="shared" si="22"/>
        <v>0</v>
      </c>
      <c r="AV385" s="1150">
        <f t="shared" si="23"/>
        <v>9772.48</v>
      </c>
    </row>
    <row r="386" spans="1:48" x14ac:dyDescent="0.2">
      <c r="A386" s="19">
        <v>391</v>
      </c>
      <c r="B386" t="s">
        <v>1687</v>
      </c>
      <c r="C386" t="s">
        <v>2066</v>
      </c>
      <c r="D386" t="s">
        <v>1027</v>
      </c>
      <c r="E386" t="s">
        <v>2235</v>
      </c>
      <c r="F386" t="s">
        <v>2429</v>
      </c>
      <c r="G386" t="s">
        <v>1254</v>
      </c>
      <c r="H386" t="s">
        <v>3823</v>
      </c>
      <c r="I386">
        <v>2221</v>
      </c>
      <c r="J386" t="s">
        <v>3246</v>
      </c>
      <c r="K386" t="s">
        <v>3587</v>
      </c>
      <c r="L386" t="s">
        <v>2855</v>
      </c>
      <c r="M386" s="1086">
        <v>36962.42</v>
      </c>
      <c r="N386" s="1086">
        <v>0</v>
      </c>
      <c r="O386" s="1086">
        <v>197883.17</v>
      </c>
      <c r="P386" s="1086">
        <v>0</v>
      </c>
      <c r="Q386" s="1086">
        <v>0</v>
      </c>
      <c r="R386" s="1086">
        <v>0</v>
      </c>
      <c r="S386" s="1086">
        <v>0</v>
      </c>
      <c r="T386" s="1086">
        <v>0</v>
      </c>
      <c r="U386" s="1086">
        <v>12353.02</v>
      </c>
      <c r="V386" s="1086">
        <v>0</v>
      </c>
      <c r="W386" s="1086">
        <v>0</v>
      </c>
      <c r="X386" s="1086">
        <v>0</v>
      </c>
      <c r="Y386" s="1086">
        <v>-2500</v>
      </c>
      <c r="Z386" s="1086">
        <v>0</v>
      </c>
      <c r="AA386" s="1086">
        <v>5703.52</v>
      </c>
      <c r="AB386" s="1086">
        <v>0</v>
      </c>
      <c r="AC386" s="1086">
        <v>219289.05</v>
      </c>
      <c r="AD386" s="1086" t="s">
        <v>248</v>
      </c>
      <c r="AE386" s="1086" t="s">
        <v>3877</v>
      </c>
      <c r="AF386" s="1086">
        <f t="shared" si="21"/>
        <v>219289.05000000002</v>
      </c>
      <c r="AG386" s="1086">
        <f t="shared" si="24"/>
        <v>0</v>
      </c>
      <c r="AQ386" s="1086">
        <v>0</v>
      </c>
      <c r="AR386" s="1086">
        <v>0</v>
      </c>
      <c r="AS386" s="1086">
        <v>219289.05</v>
      </c>
      <c r="AT386" s="1086">
        <f t="shared" si="22"/>
        <v>0</v>
      </c>
      <c r="AV386" s="1150">
        <f t="shared" si="23"/>
        <v>15556.54</v>
      </c>
    </row>
    <row r="387" spans="1:48" x14ac:dyDescent="0.2">
      <c r="A387" s="19">
        <v>392</v>
      </c>
      <c r="B387" t="s">
        <v>1688</v>
      </c>
      <c r="C387" t="s">
        <v>2066</v>
      </c>
      <c r="D387" t="s">
        <v>1044</v>
      </c>
      <c r="E387" t="s">
        <v>2165</v>
      </c>
      <c r="F387" t="s">
        <v>2362</v>
      </c>
      <c r="G387" t="s">
        <v>1250</v>
      </c>
      <c r="H387" t="s">
        <v>3825</v>
      </c>
      <c r="I387">
        <v>2221</v>
      </c>
      <c r="J387" t="s">
        <v>3417</v>
      </c>
      <c r="K387">
        <v>4085</v>
      </c>
      <c r="L387" t="s">
        <v>2856</v>
      </c>
      <c r="M387" s="1086">
        <v>1072306.3</v>
      </c>
      <c r="N387" s="1086">
        <v>330361.99</v>
      </c>
      <c r="O387" s="1086">
        <v>227835.54</v>
      </c>
      <c r="P387" s="1086">
        <v>177307.11</v>
      </c>
      <c r="Q387" s="1086">
        <v>0</v>
      </c>
      <c r="R387" s="1086">
        <v>0</v>
      </c>
      <c r="S387" s="1086">
        <v>0</v>
      </c>
      <c r="T387" s="1086">
        <v>21334.46</v>
      </c>
      <c r="U387" s="1086">
        <v>5458.19</v>
      </c>
      <c r="V387" s="1086">
        <v>0</v>
      </c>
      <c r="W387" s="1086">
        <v>2627.1</v>
      </c>
      <c r="X387" s="1086">
        <v>4123.7</v>
      </c>
      <c r="Y387" s="1086">
        <v>0</v>
      </c>
      <c r="Z387" s="1086">
        <v>0</v>
      </c>
      <c r="AA387" s="1086">
        <v>392843.35</v>
      </c>
      <c r="AB387" s="1086">
        <v>0</v>
      </c>
      <c r="AC387" s="1086">
        <v>1026809.92</v>
      </c>
      <c r="AD387" s="1086" t="s">
        <v>248</v>
      </c>
      <c r="AE387" s="1086" t="s">
        <v>3877</v>
      </c>
      <c r="AF387" s="1086">
        <f t="shared" si="21"/>
        <v>1026809.9200000002</v>
      </c>
      <c r="AG387" s="1086">
        <f t="shared" si="24"/>
        <v>0</v>
      </c>
      <c r="AQ387" s="1086">
        <v>0</v>
      </c>
      <c r="AR387" s="1086">
        <v>0</v>
      </c>
      <c r="AS387" s="1086">
        <v>1026809.9199999989</v>
      </c>
      <c r="AT387" s="1086">
        <f t="shared" si="22"/>
        <v>1.1641532182693481E-9</v>
      </c>
      <c r="AV387" s="1150">
        <f t="shared" si="23"/>
        <v>603693.90999999992</v>
      </c>
    </row>
    <row r="388" spans="1:48" x14ac:dyDescent="0.2">
      <c r="A388" s="19">
        <v>393</v>
      </c>
      <c r="B388" t="s">
        <v>1689</v>
      </c>
      <c r="C388" t="s">
        <v>2066</v>
      </c>
      <c r="D388" t="s">
        <v>1005</v>
      </c>
      <c r="E388" t="s">
        <v>2166</v>
      </c>
      <c r="F388" t="s">
        <v>2363</v>
      </c>
      <c r="G388" t="s">
        <v>1250</v>
      </c>
      <c r="H388" t="s">
        <v>3823</v>
      </c>
      <c r="I388">
        <v>2221</v>
      </c>
      <c r="J388" t="s">
        <v>3355</v>
      </c>
      <c r="K388" t="s">
        <v>3588</v>
      </c>
      <c r="L388" t="s">
        <v>2857</v>
      </c>
      <c r="M388" s="1086">
        <v>7309.15</v>
      </c>
      <c r="N388" s="1086">
        <v>0</v>
      </c>
      <c r="O388" s="1086">
        <v>2166.3000000000002</v>
      </c>
      <c r="P388" s="1086">
        <v>0</v>
      </c>
      <c r="Q388" s="1086">
        <v>0</v>
      </c>
      <c r="R388" s="1086">
        <v>0</v>
      </c>
      <c r="S388" s="1086">
        <v>0</v>
      </c>
      <c r="T388" s="1086">
        <v>0</v>
      </c>
      <c r="U388" s="1086">
        <v>254.4</v>
      </c>
      <c r="V388" s="1086">
        <v>0</v>
      </c>
      <c r="W388" s="1086">
        <v>0</v>
      </c>
      <c r="X388" s="1086">
        <v>0</v>
      </c>
      <c r="Y388" s="1086">
        <v>-1500</v>
      </c>
      <c r="Z388" s="1086">
        <v>0</v>
      </c>
      <c r="AA388" s="1086">
        <v>0</v>
      </c>
      <c r="AB388" s="1086">
        <v>0</v>
      </c>
      <c r="AC388" s="1086">
        <v>10721.05</v>
      </c>
      <c r="AD388" s="1086" t="s">
        <v>248</v>
      </c>
      <c r="AE388" s="1086" t="s">
        <v>3877</v>
      </c>
      <c r="AF388" s="1086">
        <f t="shared" si="21"/>
        <v>10721.050000000001</v>
      </c>
      <c r="AG388" s="1086">
        <f t="shared" si="24"/>
        <v>0</v>
      </c>
      <c r="AQ388" s="1086">
        <v>0</v>
      </c>
      <c r="AR388" s="1086">
        <v>0</v>
      </c>
      <c r="AS388" s="1086">
        <v>10721.05</v>
      </c>
      <c r="AT388" s="1086">
        <f t="shared" si="22"/>
        <v>0</v>
      </c>
      <c r="AV388" s="1150">
        <f t="shared" si="23"/>
        <v>-1245.5999999999999</v>
      </c>
    </row>
    <row r="389" spans="1:48" x14ac:dyDescent="0.2">
      <c r="A389" s="19">
        <v>394</v>
      </c>
      <c r="B389" t="s">
        <v>1690</v>
      </c>
      <c r="C389" t="s">
        <v>2066</v>
      </c>
      <c r="D389" t="s">
        <v>1005</v>
      </c>
      <c r="E389" t="s">
        <v>2166</v>
      </c>
      <c r="F389" t="s">
        <v>2363</v>
      </c>
      <c r="G389" t="s">
        <v>1250</v>
      </c>
      <c r="H389" t="s">
        <v>3825</v>
      </c>
      <c r="I389">
        <v>2221</v>
      </c>
      <c r="J389" t="s">
        <v>3355</v>
      </c>
      <c r="K389" t="s">
        <v>3589</v>
      </c>
      <c r="L389" t="s">
        <v>2858</v>
      </c>
      <c r="M389" s="1086">
        <v>77334.37</v>
      </c>
      <c r="N389" s="1086">
        <v>30</v>
      </c>
      <c r="O389" s="1086">
        <v>50228.13</v>
      </c>
      <c r="P389" s="1086">
        <v>0</v>
      </c>
      <c r="Q389" s="1086">
        <v>0</v>
      </c>
      <c r="R389" s="1086">
        <v>0</v>
      </c>
      <c r="S389" s="1086">
        <v>0</v>
      </c>
      <c r="T389" s="1086">
        <v>1267.3499999999999</v>
      </c>
      <c r="U389" s="1086">
        <v>5141.2299999999996</v>
      </c>
      <c r="V389" s="1086">
        <v>5571.41</v>
      </c>
      <c r="W389" s="1086">
        <v>18.649999999999999</v>
      </c>
      <c r="X389" s="1086">
        <v>623.96</v>
      </c>
      <c r="Y389" s="1086">
        <v>-14389</v>
      </c>
      <c r="Z389" s="1086">
        <v>0</v>
      </c>
      <c r="AA389" s="1086">
        <v>96288.49</v>
      </c>
      <c r="AB389" s="1086">
        <v>0</v>
      </c>
      <c r="AC389" s="1086">
        <v>33070.410000000003</v>
      </c>
      <c r="AD389" s="1086" t="s">
        <v>248</v>
      </c>
      <c r="AE389" s="1086" t="s">
        <v>3877</v>
      </c>
      <c r="AF389" s="1086">
        <f t="shared" si="21"/>
        <v>33070.410000000003</v>
      </c>
      <c r="AG389" s="1086">
        <f t="shared" si="24"/>
        <v>0</v>
      </c>
      <c r="AQ389" s="1086">
        <v>0</v>
      </c>
      <c r="AR389" s="1086">
        <v>0</v>
      </c>
      <c r="AS389" s="1086">
        <v>33070.410000000003</v>
      </c>
      <c r="AT389" s="1086">
        <f t="shared" si="22"/>
        <v>0</v>
      </c>
      <c r="AV389" s="1150">
        <f t="shared" si="23"/>
        <v>94522.09</v>
      </c>
    </row>
    <row r="390" spans="1:48" x14ac:dyDescent="0.2">
      <c r="A390" s="19">
        <v>395</v>
      </c>
      <c r="B390" t="s">
        <v>1691</v>
      </c>
      <c r="C390" t="s">
        <v>2066</v>
      </c>
      <c r="D390" t="s">
        <v>1027</v>
      </c>
      <c r="E390" t="s">
        <v>2236</v>
      </c>
      <c r="F390" t="s">
        <v>2430</v>
      </c>
      <c r="G390" t="s">
        <v>1254</v>
      </c>
      <c r="H390" t="s">
        <v>3823</v>
      </c>
      <c r="I390">
        <v>2221</v>
      </c>
      <c r="J390" t="s">
        <v>3246</v>
      </c>
      <c r="K390" t="s">
        <v>3590</v>
      </c>
      <c r="L390" t="s">
        <v>2859</v>
      </c>
      <c r="M390" s="1086">
        <v>317409.34000000003</v>
      </c>
      <c r="N390" s="1086">
        <v>43017.07</v>
      </c>
      <c r="O390" s="1086">
        <v>44401.96</v>
      </c>
      <c r="P390" s="1086">
        <v>0</v>
      </c>
      <c r="Q390" s="1086">
        <v>0</v>
      </c>
      <c r="R390" s="1086">
        <v>0</v>
      </c>
      <c r="S390" s="1086">
        <v>19496.8</v>
      </c>
      <c r="T390" s="1086">
        <v>300.63</v>
      </c>
      <c r="U390" s="1086">
        <v>36244.269999999997</v>
      </c>
      <c r="V390" s="1086">
        <v>0</v>
      </c>
      <c r="W390" s="1086">
        <v>0</v>
      </c>
      <c r="X390" s="1086">
        <v>0</v>
      </c>
      <c r="Y390" s="1086">
        <v>-2010.46</v>
      </c>
      <c r="Z390" s="1086">
        <v>0</v>
      </c>
      <c r="AA390" s="1086">
        <v>31477.23</v>
      </c>
      <c r="AB390" s="1086">
        <v>0</v>
      </c>
      <c r="AC390" s="1086">
        <v>319319.90000000002</v>
      </c>
      <c r="AD390" s="1086" t="s">
        <v>248</v>
      </c>
      <c r="AE390" s="1086" t="s">
        <v>3877</v>
      </c>
      <c r="AF390" s="1086">
        <f t="shared" si="21"/>
        <v>319319.90000000002</v>
      </c>
      <c r="AG390" s="1086">
        <f t="shared" si="24"/>
        <v>0</v>
      </c>
      <c r="AQ390" s="1086">
        <v>0</v>
      </c>
      <c r="AR390" s="1086">
        <v>0</v>
      </c>
      <c r="AS390" s="1086">
        <v>319319.90000000002</v>
      </c>
      <c r="AT390" s="1086">
        <f t="shared" si="22"/>
        <v>0</v>
      </c>
      <c r="AV390" s="1150">
        <f t="shared" si="23"/>
        <v>85508.47</v>
      </c>
    </row>
    <row r="391" spans="1:48" x14ac:dyDescent="0.2">
      <c r="A391" s="19">
        <v>396</v>
      </c>
      <c r="B391" t="s">
        <v>1692</v>
      </c>
      <c r="C391" t="s">
        <v>2066</v>
      </c>
      <c r="D391" t="s">
        <v>1039</v>
      </c>
      <c r="E391" t="s">
        <v>2174</v>
      </c>
      <c r="F391" t="s">
        <v>2370</v>
      </c>
      <c r="G391" t="s">
        <v>1250</v>
      </c>
      <c r="H391" t="s">
        <v>3825</v>
      </c>
      <c r="I391">
        <v>2221</v>
      </c>
      <c r="J391" t="s">
        <v>3266</v>
      </c>
      <c r="K391" t="s">
        <v>3591</v>
      </c>
      <c r="L391" t="s">
        <v>2860</v>
      </c>
      <c r="M391" s="1086">
        <v>118326.48</v>
      </c>
      <c r="N391" s="1086">
        <v>1711.05</v>
      </c>
      <c r="O391" s="1086">
        <v>0</v>
      </c>
      <c r="P391" s="1086">
        <v>34093.360000000001</v>
      </c>
      <c r="Q391" s="1086">
        <v>0</v>
      </c>
      <c r="R391" s="1086">
        <v>0</v>
      </c>
      <c r="S391" s="1086">
        <v>7902</v>
      </c>
      <c r="T391" s="1086">
        <v>25114.23</v>
      </c>
      <c r="U391" s="1086">
        <v>-208.15</v>
      </c>
      <c r="V391" s="1086">
        <v>0</v>
      </c>
      <c r="W391" s="1086">
        <v>0</v>
      </c>
      <c r="X391" s="1086">
        <v>0</v>
      </c>
      <c r="Y391" s="1086">
        <v>0</v>
      </c>
      <c r="Z391" s="1086">
        <v>0</v>
      </c>
      <c r="AA391" s="1086">
        <v>25108.240000000002</v>
      </c>
      <c r="AB391" s="1086">
        <v>0</v>
      </c>
      <c r="AC391" s="1086">
        <v>28027.85</v>
      </c>
      <c r="AD391" s="1086" t="s">
        <v>248</v>
      </c>
      <c r="AE391" s="1086" t="s">
        <v>3877</v>
      </c>
      <c r="AF391" s="1086">
        <f t="shared" si="21"/>
        <v>28027.849999999991</v>
      </c>
      <c r="AG391" s="1086">
        <f t="shared" si="24"/>
        <v>0</v>
      </c>
      <c r="AQ391" s="1086">
        <v>0</v>
      </c>
      <c r="AR391" s="1086">
        <v>0</v>
      </c>
      <c r="AS391" s="1086">
        <v>28027.85</v>
      </c>
      <c r="AT391" s="1086">
        <f t="shared" si="22"/>
        <v>0</v>
      </c>
      <c r="AV391" s="1150">
        <f t="shared" si="23"/>
        <v>92009.680000000008</v>
      </c>
    </row>
    <row r="392" spans="1:48" x14ac:dyDescent="0.2">
      <c r="A392" s="19">
        <v>397</v>
      </c>
      <c r="B392" t="s">
        <v>1693</v>
      </c>
      <c r="C392" t="s">
        <v>2066</v>
      </c>
      <c r="D392" t="s">
        <v>1039</v>
      </c>
      <c r="E392" t="s">
        <v>2174</v>
      </c>
      <c r="F392" t="s">
        <v>2370</v>
      </c>
      <c r="G392" t="s">
        <v>1250</v>
      </c>
      <c r="H392" t="s">
        <v>3825</v>
      </c>
      <c r="I392">
        <v>2224</v>
      </c>
      <c r="J392" t="s">
        <v>3266</v>
      </c>
      <c r="K392">
        <v>5148</v>
      </c>
      <c r="L392" t="s">
        <v>2861</v>
      </c>
      <c r="M392" s="1086">
        <v>2821.25</v>
      </c>
      <c r="N392" s="1086">
        <v>17000</v>
      </c>
      <c r="O392" s="1086">
        <v>1000</v>
      </c>
      <c r="P392" s="1086">
        <v>0</v>
      </c>
      <c r="Q392" s="1086">
        <v>0</v>
      </c>
      <c r="R392" s="1086">
        <v>0</v>
      </c>
      <c r="S392" s="1086">
        <v>0</v>
      </c>
      <c r="T392" s="1086">
        <v>0</v>
      </c>
      <c r="U392" s="1086">
        <v>-980.24</v>
      </c>
      <c r="V392" s="1086">
        <v>0</v>
      </c>
      <c r="W392" s="1086">
        <v>0</v>
      </c>
      <c r="X392" s="1086">
        <v>0</v>
      </c>
      <c r="Y392" s="1086">
        <v>0</v>
      </c>
      <c r="Z392" s="1086">
        <v>0</v>
      </c>
      <c r="AA392" s="1086">
        <v>595</v>
      </c>
      <c r="AB392" s="1086">
        <v>0</v>
      </c>
      <c r="AC392" s="1086">
        <v>21206.49</v>
      </c>
      <c r="AD392" s="1086" t="s">
        <v>248</v>
      </c>
      <c r="AE392" s="1086" t="s">
        <v>3877</v>
      </c>
      <c r="AF392" s="1086">
        <f t="shared" ref="AF392:AF455" si="25">M392+N392+O392-(SUM(P392:AB392))-AQ392-AR392</f>
        <v>21206.49</v>
      </c>
      <c r="AG392" s="1086">
        <f t="shared" si="24"/>
        <v>0</v>
      </c>
      <c r="AQ392" s="1086">
        <v>0</v>
      </c>
      <c r="AR392" s="1086">
        <v>0</v>
      </c>
      <c r="AS392" s="1086">
        <v>21206.49</v>
      </c>
      <c r="AT392" s="1086">
        <f t="shared" ref="AT392:AT455" si="26">AC392-AS392</f>
        <v>0</v>
      </c>
      <c r="AV392" s="1150">
        <f t="shared" si="23"/>
        <v>-385.24</v>
      </c>
    </row>
    <row r="393" spans="1:48" x14ac:dyDescent="0.2">
      <c r="A393" s="19">
        <v>399</v>
      </c>
      <c r="B393" t="s">
        <v>1694</v>
      </c>
      <c r="C393" t="s">
        <v>2066</v>
      </c>
      <c r="D393" t="s">
        <v>1026</v>
      </c>
      <c r="E393" t="s">
        <v>2237</v>
      </c>
      <c r="F393" t="s">
        <v>2431</v>
      </c>
      <c r="G393" t="s">
        <v>1250</v>
      </c>
      <c r="H393" t="s">
        <v>3825</v>
      </c>
      <c r="I393">
        <v>2221</v>
      </c>
      <c r="J393" t="s">
        <v>3357</v>
      </c>
      <c r="K393" t="s">
        <v>3592</v>
      </c>
      <c r="L393" t="s">
        <v>2862</v>
      </c>
      <c r="M393" s="1086">
        <v>90810</v>
      </c>
      <c r="N393" s="1086">
        <v>0</v>
      </c>
      <c r="O393" s="1086">
        <v>67292.009999999995</v>
      </c>
      <c r="P393" s="1086">
        <v>22747.5</v>
      </c>
      <c r="Q393" s="1086">
        <v>0</v>
      </c>
      <c r="R393" s="1086">
        <v>0</v>
      </c>
      <c r="S393" s="1086">
        <v>0</v>
      </c>
      <c r="T393" s="1086">
        <v>1480.29</v>
      </c>
      <c r="U393" s="1086">
        <v>12009.36</v>
      </c>
      <c r="V393" s="1086">
        <v>0</v>
      </c>
      <c r="W393" s="1086">
        <v>1215.9000000000001</v>
      </c>
      <c r="X393" s="1086">
        <v>7046.32</v>
      </c>
      <c r="Y393" s="1086">
        <v>0</v>
      </c>
      <c r="Z393" s="1086">
        <v>0</v>
      </c>
      <c r="AA393" s="1086">
        <v>0</v>
      </c>
      <c r="AB393" s="1086">
        <v>0</v>
      </c>
      <c r="AC393" s="1086">
        <v>113474.7</v>
      </c>
      <c r="AD393" s="1086" t="s">
        <v>248</v>
      </c>
      <c r="AE393" s="1086" t="s">
        <v>3877</v>
      </c>
      <c r="AF393" s="1086">
        <f t="shared" si="25"/>
        <v>113474.70000000001</v>
      </c>
      <c r="AG393" s="1086">
        <f t="shared" si="24"/>
        <v>0</v>
      </c>
      <c r="AQ393" s="1086">
        <v>127.94</v>
      </c>
      <c r="AR393" s="1086">
        <v>0</v>
      </c>
      <c r="AS393" s="1086">
        <v>113474.7</v>
      </c>
      <c r="AT393" s="1086">
        <f t="shared" si="26"/>
        <v>0</v>
      </c>
      <c r="AV393" s="1150">
        <f t="shared" ref="AV393:AV456" si="27">SUM(P393:AB393)+AQ393+AR393</f>
        <v>44627.310000000005</v>
      </c>
    </row>
    <row r="394" spans="1:48" x14ac:dyDescent="0.2">
      <c r="A394" s="19">
        <v>400</v>
      </c>
      <c r="B394" t="s">
        <v>1695</v>
      </c>
      <c r="C394" t="s">
        <v>2066</v>
      </c>
      <c r="D394" t="s">
        <v>1050</v>
      </c>
      <c r="E394" t="s">
        <v>2238</v>
      </c>
      <c r="F394" t="s">
        <v>2432</v>
      </c>
      <c r="G394" t="s">
        <v>1250</v>
      </c>
      <c r="H394" t="s">
        <v>3824</v>
      </c>
      <c r="I394">
        <v>2220</v>
      </c>
      <c r="J394" t="s">
        <v>3272</v>
      </c>
      <c r="K394">
        <v>4590</v>
      </c>
      <c r="L394" t="s">
        <v>2863</v>
      </c>
      <c r="M394" s="1086">
        <v>326393.05</v>
      </c>
      <c r="N394" s="1086">
        <v>27914.83</v>
      </c>
      <c r="O394" s="1086">
        <v>1595</v>
      </c>
      <c r="P394" s="1086">
        <v>79135.91</v>
      </c>
      <c r="Q394" s="1086">
        <v>0</v>
      </c>
      <c r="R394" s="1086">
        <v>0</v>
      </c>
      <c r="S394" s="1086">
        <v>10353.42</v>
      </c>
      <c r="T394" s="1086">
        <v>25607.29</v>
      </c>
      <c r="U394" s="1086">
        <v>53284.74</v>
      </c>
      <c r="V394" s="1086">
        <v>0</v>
      </c>
      <c r="W394" s="1086">
        <v>605.28</v>
      </c>
      <c r="X394" s="1086">
        <v>3861.72</v>
      </c>
      <c r="Y394" s="1086">
        <v>-300</v>
      </c>
      <c r="Z394" s="1086">
        <v>0</v>
      </c>
      <c r="AA394" s="1086">
        <v>1074.06</v>
      </c>
      <c r="AB394" s="1086">
        <v>0</v>
      </c>
      <c r="AC394" s="1086">
        <v>182280.46</v>
      </c>
      <c r="AD394" s="1086" t="s">
        <v>248</v>
      </c>
      <c r="AE394" s="1086" t="s">
        <v>3877</v>
      </c>
      <c r="AF394" s="1086">
        <f t="shared" si="25"/>
        <v>182280.46000000002</v>
      </c>
      <c r="AG394" s="1086">
        <f t="shared" si="24"/>
        <v>0</v>
      </c>
      <c r="AQ394" s="1086">
        <v>0</v>
      </c>
      <c r="AR394" s="1086">
        <v>0</v>
      </c>
      <c r="AS394" s="1086">
        <v>182280.46</v>
      </c>
      <c r="AT394" s="1086">
        <f t="shared" si="26"/>
        <v>0</v>
      </c>
      <c r="AV394" s="1150">
        <f t="shared" si="27"/>
        <v>173622.41999999998</v>
      </c>
    </row>
    <row r="395" spans="1:48" x14ac:dyDescent="0.2">
      <c r="A395" s="19">
        <v>401</v>
      </c>
      <c r="B395" t="s">
        <v>1696</v>
      </c>
      <c r="C395" t="s">
        <v>2066</v>
      </c>
      <c r="D395" t="s">
        <v>1048</v>
      </c>
      <c r="E395" t="s">
        <v>2193</v>
      </c>
      <c r="F395" t="s">
        <v>2388</v>
      </c>
      <c r="G395" t="s">
        <v>1257</v>
      </c>
      <c r="H395" t="s">
        <v>3826</v>
      </c>
      <c r="I395" t="s">
        <v>3251</v>
      </c>
      <c r="J395" t="s">
        <v>3251</v>
      </c>
      <c r="K395" t="s">
        <v>3251</v>
      </c>
      <c r="L395" t="s">
        <v>2864</v>
      </c>
      <c r="M395" s="1086">
        <v>0</v>
      </c>
      <c r="N395" s="1086">
        <v>145047.62</v>
      </c>
      <c r="O395" s="1086">
        <v>170282.79</v>
      </c>
      <c r="P395" s="1086">
        <v>0</v>
      </c>
      <c r="Q395" s="1086">
        <v>0</v>
      </c>
      <c r="R395" s="1086">
        <v>0</v>
      </c>
      <c r="S395" s="1086">
        <v>0</v>
      </c>
      <c r="T395" s="1086">
        <v>0</v>
      </c>
      <c r="U395" s="1086">
        <v>453.38</v>
      </c>
      <c r="V395" s="1086">
        <v>0</v>
      </c>
      <c r="W395" s="1086">
        <v>0</v>
      </c>
      <c r="X395" s="1086">
        <v>0</v>
      </c>
      <c r="Y395" s="1086">
        <v>0</v>
      </c>
      <c r="Z395" s="1086">
        <v>0</v>
      </c>
      <c r="AA395" s="1086">
        <v>33512.33</v>
      </c>
      <c r="AB395" s="1086">
        <v>0</v>
      </c>
      <c r="AC395" s="1086">
        <v>281364.7</v>
      </c>
      <c r="AD395" s="1086" t="s">
        <v>248</v>
      </c>
      <c r="AE395" s="1086" t="s">
        <v>3877</v>
      </c>
      <c r="AF395" s="1086">
        <f t="shared" si="25"/>
        <v>281364.7</v>
      </c>
      <c r="AG395" s="1086">
        <f t="shared" si="24"/>
        <v>0</v>
      </c>
      <c r="AQ395" s="1086">
        <v>0</v>
      </c>
      <c r="AR395" s="1086">
        <v>0</v>
      </c>
      <c r="AS395" s="1086">
        <v>281364.7</v>
      </c>
      <c r="AT395" s="1086">
        <f t="shared" si="26"/>
        <v>0</v>
      </c>
      <c r="AV395" s="1150">
        <f t="shared" si="27"/>
        <v>33965.71</v>
      </c>
    </row>
    <row r="396" spans="1:48" x14ac:dyDescent="0.2">
      <c r="A396" s="19">
        <v>402</v>
      </c>
      <c r="B396" t="s">
        <v>1697</v>
      </c>
      <c r="C396" t="s">
        <v>2066</v>
      </c>
      <c r="D396" t="s">
        <v>1026</v>
      </c>
      <c r="E396" t="s">
        <v>2239</v>
      </c>
      <c r="F396" t="s">
        <v>2433</v>
      </c>
      <c r="G396" t="s">
        <v>1250</v>
      </c>
      <c r="H396" t="s">
        <v>3825</v>
      </c>
      <c r="I396">
        <v>2221</v>
      </c>
      <c r="J396" t="s">
        <v>3357</v>
      </c>
      <c r="K396" t="s">
        <v>3593</v>
      </c>
      <c r="L396" t="s">
        <v>2865</v>
      </c>
      <c r="M396" s="1086">
        <v>29417.83</v>
      </c>
      <c r="N396" s="1086">
        <v>6697.56</v>
      </c>
      <c r="O396" s="1086">
        <v>77567.509999999995</v>
      </c>
      <c r="P396" s="1086">
        <v>34989.65</v>
      </c>
      <c r="Q396" s="1086">
        <v>0</v>
      </c>
      <c r="R396" s="1086">
        <v>0</v>
      </c>
      <c r="S396" s="1086">
        <v>240</v>
      </c>
      <c r="T396" s="1086">
        <v>1067.9000000000001</v>
      </c>
      <c r="U396" s="1086">
        <v>16840.38</v>
      </c>
      <c r="V396" s="1086">
        <v>0</v>
      </c>
      <c r="W396" s="1086">
        <v>2665.53</v>
      </c>
      <c r="X396" s="1086">
        <v>5710.2</v>
      </c>
      <c r="Y396" s="1086">
        <v>0</v>
      </c>
      <c r="Z396" s="1086">
        <v>0</v>
      </c>
      <c r="AA396" s="1086">
        <v>79.540000000000006</v>
      </c>
      <c r="AB396" s="1086">
        <v>0</v>
      </c>
      <c r="AC396" s="1086">
        <v>52089.7</v>
      </c>
      <c r="AD396" s="1086" t="s">
        <v>248</v>
      </c>
      <c r="AE396" s="1086" t="s">
        <v>3877</v>
      </c>
      <c r="AF396" s="1086">
        <f t="shared" si="25"/>
        <v>52089.69999999999</v>
      </c>
      <c r="AG396" s="1086">
        <f t="shared" si="24"/>
        <v>0</v>
      </c>
      <c r="AQ396" s="1086">
        <v>0</v>
      </c>
      <c r="AR396" s="1086">
        <v>0</v>
      </c>
      <c r="AS396" s="1086">
        <v>52089.7</v>
      </c>
      <c r="AT396" s="1086">
        <f t="shared" si="26"/>
        <v>0</v>
      </c>
      <c r="AV396" s="1150">
        <f t="shared" si="27"/>
        <v>61593.200000000004</v>
      </c>
    </row>
    <row r="397" spans="1:48" x14ac:dyDescent="0.2">
      <c r="A397" s="19">
        <v>403</v>
      </c>
      <c r="B397" t="s">
        <v>1698</v>
      </c>
      <c r="C397" t="s">
        <v>2066</v>
      </c>
      <c r="D397" t="s">
        <v>1026</v>
      </c>
      <c r="E397" t="s">
        <v>2239</v>
      </c>
      <c r="F397" t="s">
        <v>2433</v>
      </c>
      <c r="G397" t="s">
        <v>1250</v>
      </c>
      <c r="H397" t="s">
        <v>3823</v>
      </c>
      <c r="I397">
        <v>2224</v>
      </c>
      <c r="J397" t="s">
        <v>3357</v>
      </c>
      <c r="K397" t="s">
        <v>3594</v>
      </c>
      <c r="L397" t="s">
        <v>2866</v>
      </c>
      <c r="M397" s="1086">
        <v>1077.5899999999999</v>
      </c>
      <c r="N397" s="1086">
        <v>750</v>
      </c>
      <c r="O397" s="1086">
        <v>6410.45</v>
      </c>
      <c r="P397" s="1086">
        <v>350</v>
      </c>
      <c r="Q397" s="1086">
        <v>0</v>
      </c>
      <c r="R397" s="1086">
        <v>0</v>
      </c>
      <c r="S397" s="1086">
        <v>0</v>
      </c>
      <c r="T397" s="1086">
        <v>11.03</v>
      </c>
      <c r="U397" s="1086">
        <v>1350</v>
      </c>
      <c r="V397" s="1086">
        <v>0</v>
      </c>
      <c r="W397" s="1086">
        <v>872.25</v>
      </c>
      <c r="X397" s="1086">
        <v>4137.03</v>
      </c>
      <c r="Y397" s="1086">
        <v>0</v>
      </c>
      <c r="Z397" s="1086">
        <v>0</v>
      </c>
      <c r="AA397" s="1086">
        <v>26.25</v>
      </c>
      <c r="AB397" s="1086">
        <v>0</v>
      </c>
      <c r="AC397" s="1086">
        <v>1491.48</v>
      </c>
      <c r="AD397" s="1086" t="s">
        <v>248</v>
      </c>
      <c r="AE397" s="1086" t="s">
        <v>3877</v>
      </c>
      <c r="AF397" s="1086">
        <f t="shared" si="25"/>
        <v>1491.4799999999996</v>
      </c>
      <c r="AG397" s="1086">
        <f t="shared" si="24"/>
        <v>0</v>
      </c>
      <c r="AQ397" s="1086">
        <v>0</v>
      </c>
      <c r="AR397" s="1086">
        <v>0</v>
      </c>
      <c r="AS397" s="1086">
        <v>1491.48</v>
      </c>
      <c r="AT397" s="1086">
        <f t="shared" si="26"/>
        <v>0</v>
      </c>
      <c r="AV397" s="1150">
        <f t="shared" si="27"/>
        <v>6746.5599999999995</v>
      </c>
    </row>
    <row r="398" spans="1:48" x14ac:dyDescent="0.2">
      <c r="A398" s="19">
        <v>404</v>
      </c>
      <c r="B398" t="s">
        <v>1699</v>
      </c>
      <c r="C398" t="s">
        <v>2066</v>
      </c>
      <c r="D398" t="s">
        <v>1062</v>
      </c>
      <c r="E398" t="s">
        <v>2202</v>
      </c>
      <c r="F398" t="s">
        <v>2397</v>
      </c>
      <c r="G398" t="s">
        <v>1249</v>
      </c>
      <c r="H398" t="s">
        <v>3827</v>
      </c>
      <c r="I398">
        <v>2221</v>
      </c>
      <c r="J398" t="s">
        <v>3523</v>
      </c>
      <c r="K398" t="s">
        <v>3595</v>
      </c>
      <c r="L398" t="s">
        <v>2867</v>
      </c>
      <c r="M398" s="1086">
        <v>172079.29</v>
      </c>
      <c r="N398" s="1086">
        <v>330638</v>
      </c>
      <c r="O398" s="1086">
        <v>302853.33</v>
      </c>
      <c r="P398" s="1086">
        <v>139344.28</v>
      </c>
      <c r="Q398" s="1086">
        <v>10000.200000000001</v>
      </c>
      <c r="R398" s="1086">
        <v>3187.7</v>
      </c>
      <c r="S398" s="1086">
        <v>0</v>
      </c>
      <c r="T398" s="1086">
        <v>19306.439999999999</v>
      </c>
      <c r="U398" s="1086">
        <v>295539.55</v>
      </c>
      <c r="V398" s="1086">
        <v>0</v>
      </c>
      <c r="W398" s="1086">
        <v>0</v>
      </c>
      <c r="X398" s="1086">
        <v>42459.22</v>
      </c>
      <c r="Y398" s="1086">
        <v>0</v>
      </c>
      <c r="Z398" s="1086">
        <v>0</v>
      </c>
      <c r="AA398" s="1086">
        <v>171613.27</v>
      </c>
      <c r="AB398" s="1086">
        <v>0</v>
      </c>
      <c r="AC398" s="1086">
        <v>124119.96</v>
      </c>
      <c r="AD398" s="1086" t="s">
        <v>248</v>
      </c>
      <c r="AE398" s="1086" t="s">
        <v>3877</v>
      </c>
      <c r="AF398" s="1086">
        <f t="shared" si="25"/>
        <v>124119.96000000008</v>
      </c>
      <c r="AG398" s="1086">
        <f t="shared" si="24"/>
        <v>0</v>
      </c>
      <c r="AQ398" s="1086">
        <v>0</v>
      </c>
      <c r="AR398" s="1086">
        <v>0</v>
      </c>
      <c r="AS398" s="1086">
        <v>124119.95999999886</v>
      </c>
      <c r="AT398" s="1086">
        <f t="shared" si="26"/>
        <v>1.1496013030409813E-9</v>
      </c>
      <c r="AV398" s="1150">
        <f t="shared" si="27"/>
        <v>681450.66</v>
      </c>
    </row>
    <row r="399" spans="1:48" x14ac:dyDescent="0.2">
      <c r="A399" s="19">
        <v>405</v>
      </c>
      <c r="B399" t="s">
        <v>1700</v>
      </c>
      <c r="C399" t="s">
        <v>2066</v>
      </c>
      <c r="D399" t="s">
        <v>1026</v>
      </c>
      <c r="E399" t="s">
        <v>2240</v>
      </c>
      <c r="F399" t="s">
        <v>2434</v>
      </c>
      <c r="G399" t="s">
        <v>1250</v>
      </c>
      <c r="H399" t="s">
        <v>3825</v>
      </c>
      <c r="I399">
        <v>2221</v>
      </c>
      <c r="J399" t="s">
        <v>3357</v>
      </c>
      <c r="K399" t="s">
        <v>3596</v>
      </c>
      <c r="L399" t="s">
        <v>2868</v>
      </c>
      <c r="M399" s="1086">
        <v>33654.18</v>
      </c>
      <c r="N399" s="1086">
        <v>0</v>
      </c>
      <c r="O399" s="1086">
        <v>34312.85</v>
      </c>
      <c r="P399" s="1086">
        <v>16439.77</v>
      </c>
      <c r="Q399" s="1086">
        <v>0</v>
      </c>
      <c r="R399" s="1086">
        <v>0</v>
      </c>
      <c r="S399" s="1086">
        <v>6411.35</v>
      </c>
      <c r="T399" s="1086">
        <v>9845.11</v>
      </c>
      <c r="U399" s="1086">
        <v>16041.84</v>
      </c>
      <c r="V399" s="1086">
        <v>180.98</v>
      </c>
      <c r="W399" s="1086">
        <v>230.48</v>
      </c>
      <c r="X399" s="1086">
        <v>2452.63</v>
      </c>
      <c r="Y399" s="1086">
        <v>0</v>
      </c>
      <c r="Z399" s="1086">
        <v>0</v>
      </c>
      <c r="AA399" s="1086">
        <v>81.38</v>
      </c>
      <c r="AB399" s="1086">
        <v>0</v>
      </c>
      <c r="AC399" s="1086">
        <v>16283.49</v>
      </c>
      <c r="AD399" s="1086" t="s">
        <v>248</v>
      </c>
      <c r="AE399" s="1086" t="s">
        <v>3877</v>
      </c>
      <c r="AF399" s="1086">
        <f t="shared" si="25"/>
        <v>16283.489999999991</v>
      </c>
      <c r="AG399" s="1086">
        <f t="shared" si="24"/>
        <v>0</v>
      </c>
      <c r="AQ399" s="1086">
        <v>0</v>
      </c>
      <c r="AR399" s="1086">
        <v>0</v>
      </c>
      <c r="AS399" s="1086">
        <v>16283.490000000002</v>
      </c>
      <c r="AT399" s="1086">
        <f t="shared" si="26"/>
        <v>0</v>
      </c>
      <c r="AV399" s="1150">
        <f t="shared" si="27"/>
        <v>51683.540000000008</v>
      </c>
    </row>
    <row r="400" spans="1:48" x14ac:dyDescent="0.2">
      <c r="A400" s="19">
        <v>406</v>
      </c>
      <c r="B400" t="s">
        <v>1701</v>
      </c>
      <c r="C400" t="s">
        <v>2066</v>
      </c>
      <c r="D400" t="s">
        <v>1026</v>
      </c>
      <c r="E400" t="s">
        <v>2241</v>
      </c>
      <c r="F400" t="s">
        <v>2435</v>
      </c>
      <c r="G400" t="s">
        <v>1250</v>
      </c>
      <c r="H400" t="s">
        <v>3823</v>
      </c>
      <c r="I400">
        <v>2221</v>
      </c>
      <c r="J400" t="s">
        <v>3357</v>
      </c>
      <c r="K400" t="s">
        <v>3597</v>
      </c>
      <c r="L400" t="s">
        <v>2869</v>
      </c>
      <c r="M400" s="1086">
        <v>2471.9699999999998</v>
      </c>
      <c r="N400" s="1086">
        <v>0</v>
      </c>
      <c r="O400" s="1086">
        <v>3658.19</v>
      </c>
      <c r="P400" s="1086">
        <v>0</v>
      </c>
      <c r="Q400" s="1086">
        <v>0</v>
      </c>
      <c r="R400" s="1086">
        <v>0</v>
      </c>
      <c r="S400" s="1086">
        <v>0</v>
      </c>
      <c r="T400" s="1086">
        <v>0</v>
      </c>
      <c r="U400" s="1086">
        <v>1313.04</v>
      </c>
      <c r="V400" s="1086">
        <v>0</v>
      </c>
      <c r="W400" s="1086">
        <v>0</v>
      </c>
      <c r="X400" s="1086">
        <v>0</v>
      </c>
      <c r="Y400" s="1086">
        <v>0</v>
      </c>
      <c r="Z400" s="1086">
        <v>0</v>
      </c>
      <c r="AA400" s="1086">
        <v>0.38</v>
      </c>
      <c r="AB400" s="1086">
        <v>0</v>
      </c>
      <c r="AC400" s="1086">
        <v>4816.74</v>
      </c>
      <c r="AD400" s="1086" t="s">
        <v>248</v>
      </c>
      <c r="AE400" s="1086" t="s">
        <v>3877</v>
      </c>
      <c r="AF400" s="1086">
        <f t="shared" si="25"/>
        <v>4816.74</v>
      </c>
      <c r="AG400" s="1086">
        <f t="shared" si="24"/>
        <v>0</v>
      </c>
      <c r="AQ400" s="1086">
        <v>0</v>
      </c>
      <c r="AR400" s="1086">
        <v>0</v>
      </c>
      <c r="AS400" s="1086">
        <v>4816.74</v>
      </c>
      <c r="AT400" s="1086">
        <f t="shared" si="26"/>
        <v>0</v>
      </c>
      <c r="AV400" s="1150">
        <f t="shared" si="27"/>
        <v>1313.42</v>
      </c>
    </row>
    <row r="401" spans="1:48" x14ac:dyDescent="0.2">
      <c r="A401" s="19">
        <v>407</v>
      </c>
      <c r="B401" t="s">
        <v>1702</v>
      </c>
      <c r="C401" t="s">
        <v>2066</v>
      </c>
      <c r="D401" t="s">
        <v>1026</v>
      </c>
      <c r="E401" t="s">
        <v>2241</v>
      </c>
      <c r="F401" t="s">
        <v>2435</v>
      </c>
      <c r="G401" t="s">
        <v>1250</v>
      </c>
      <c r="H401" t="s">
        <v>3825</v>
      </c>
      <c r="I401">
        <v>2221</v>
      </c>
      <c r="J401" t="s">
        <v>3357</v>
      </c>
      <c r="K401" t="s">
        <v>3598</v>
      </c>
      <c r="L401" t="s">
        <v>2870</v>
      </c>
      <c r="M401" s="1086">
        <v>839.19</v>
      </c>
      <c r="N401" s="1086">
        <v>225000</v>
      </c>
      <c r="O401" s="1086">
        <v>74805.27</v>
      </c>
      <c r="P401" s="1086">
        <v>546.87</v>
      </c>
      <c r="Q401" s="1086">
        <v>0</v>
      </c>
      <c r="R401" s="1086">
        <v>0</v>
      </c>
      <c r="S401" s="1086">
        <v>16322.37</v>
      </c>
      <c r="T401" s="1086">
        <v>425.73</v>
      </c>
      <c r="U401" s="1086">
        <v>10258.200000000001</v>
      </c>
      <c r="V401" s="1086">
        <v>0</v>
      </c>
      <c r="W401" s="1086">
        <v>9527.1</v>
      </c>
      <c r="X401" s="1086">
        <v>9233.6</v>
      </c>
      <c r="Y401" s="1086">
        <v>-750</v>
      </c>
      <c r="Z401" s="1086">
        <v>0</v>
      </c>
      <c r="AA401" s="1086">
        <v>25460.19</v>
      </c>
      <c r="AB401" s="1086">
        <v>0</v>
      </c>
      <c r="AC401" s="1086">
        <v>229620.4</v>
      </c>
      <c r="AD401" s="1086" t="s">
        <v>248</v>
      </c>
      <c r="AE401" s="1086" t="s">
        <v>3877</v>
      </c>
      <c r="AF401" s="1086">
        <f t="shared" si="25"/>
        <v>229620.40000000002</v>
      </c>
      <c r="AG401" s="1086">
        <f t="shared" si="24"/>
        <v>0</v>
      </c>
      <c r="AQ401" s="1086">
        <v>0</v>
      </c>
      <c r="AR401" s="1086">
        <v>0</v>
      </c>
      <c r="AS401" s="1086">
        <v>229620.4</v>
      </c>
      <c r="AT401" s="1086">
        <f t="shared" si="26"/>
        <v>0</v>
      </c>
      <c r="AV401" s="1150">
        <f t="shared" si="27"/>
        <v>71024.06</v>
      </c>
    </row>
    <row r="402" spans="1:48" x14ac:dyDescent="0.2">
      <c r="A402" s="19">
        <v>408</v>
      </c>
      <c r="B402" t="s">
        <v>1663</v>
      </c>
      <c r="C402" t="s">
        <v>2066</v>
      </c>
      <c r="D402" t="s">
        <v>1005</v>
      </c>
      <c r="E402" t="s">
        <v>2220</v>
      </c>
      <c r="F402" t="s">
        <v>2415</v>
      </c>
      <c r="G402" t="s">
        <v>1250</v>
      </c>
      <c r="H402" t="s">
        <v>3823</v>
      </c>
      <c r="I402">
        <v>2221</v>
      </c>
      <c r="J402" t="s">
        <v>3355</v>
      </c>
      <c r="K402" t="s">
        <v>3573</v>
      </c>
      <c r="L402" t="s">
        <v>2831</v>
      </c>
      <c r="M402" s="1086">
        <v>91196.05</v>
      </c>
      <c r="N402" s="1086">
        <v>0</v>
      </c>
      <c r="O402" s="1086">
        <v>25032.16</v>
      </c>
      <c r="P402" s="1086">
        <v>0</v>
      </c>
      <c r="Q402" s="1086">
        <v>0</v>
      </c>
      <c r="R402" s="1086">
        <v>0</v>
      </c>
      <c r="S402" s="1086">
        <v>0</v>
      </c>
      <c r="T402" s="1086">
        <v>0</v>
      </c>
      <c r="U402" s="1086">
        <v>341.16</v>
      </c>
      <c r="V402" s="1086">
        <v>0</v>
      </c>
      <c r="W402" s="1086">
        <v>660.85</v>
      </c>
      <c r="X402" s="1086">
        <v>0</v>
      </c>
      <c r="Y402" s="1086">
        <v>0</v>
      </c>
      <c r="Z402" s="1086">
        <v>0</v>
      </c>
      <c r="AA402" s="1086">
        <v>0</v>
      </c>
      <c r="AB402" s="1086">
        <v>0</v>
      </c>
      <c r="AC402" s="1086">
        <v>115226.2</v>
      </c>
      <c r="AD402" s="1086" t="s">
        <v>248</v>
      </c>
      <c r="AE402" s="1086" t="s">
        <v>3877</v>
      </c>
      <c r="AF402" s="1086">
        <f t="shared" si="25"/>
        <v>115226.20000000001</v>
      </c>
      <c r="AG402" s="1086">
        <f t="shared" si="24"/>
        <v>0</v>
      </c>
      <c r="AQ402" s="1086">
        <v>0</v>
      </c>
      <c r="AR402" s="1086">
        <v>0</v>
      </c>
      <c r="AS402" s="1086">
        <v>115226.2</v>
      </c>
      <c r="AT402" s="1086">
        <f t="shared" si="26"/>
        <v>0</v>
      </c>
      <c r="AV402" s="1150">
        <f t="shared" si="27"/>
        <v>1002.01</v>
      </c>
    </row>
    <row r="403" spans="1:48" x14ac:dyDescent="0.2">
      <c r="A403" s="19">
        <v>409</v>
      </c>
      <c r="B403" t="s">
        <v>1703</v>
      </c>
      <c r="C403" t="s">
        <v>2066</v>
      </c>
      <c r="D403" t="s">
        <v>1005</v>
      </c>
      <c r="E403" t="s">
        <v>2220</v>
      </c>
      <c r="F403" t="s">
        <v>2415</v>
      </c>
      <c r="G403" t="s">
        <v>1250</v>
      </c>
      <c r="H403" t="s">
        <v>3825</v>
      </c>
      <c r="I403">
        <v>2221</v>
      </c>
      <c r="J403" t="s">
        <v>3355</v>
      </c>
      <c r="K403" t="s">
        <v>3599</v>
      </c>
      <c r="L403" t="s">
        <v>2871</v>
      </c>
      <c r="M403" s="1086">
        <v>67541.08</v>
      </c>
      <c r="N403" s="1086">
        <v>1062</v>
      </c>
      <c r="O403" s="1086">
        <v>60982.86</v>
      </c>
      <c r="P403" s="1086">
        <v>1500</v>
      </c>
      <c r="Q403" s="1086">
        <v>0</v>
      </c>
      <c r="R403" s="1086">
        <v>0</v>
      </c>
      <c r="S403" s="1086">
        <v>48</v>
      </c>
      <c r="T403" s="1086">
        <v>1126.6400000000001</v>
      </c>
      <c r="U403" s="1086">
        <v>25058.959999999999</v>
      </c>
      <c r="V403" s="1086">
        <v>0</v>
      </c>
      <c r="W403" s="1086">
        <v>6561.81</v>
      </c>
      <c r="X403" s="1086">
        <v>8370.31</v>
      </c>
      <c r="Y403" s="1086">
        <v>0</v>
      </c>
      <c r="Z403" s="1086">
        <v>0</v>
      </c>
      <c r="AA403" s="1086">
        <v>20409.189999999999</v>
      </c>
      <c r="AB403" s="1086">
        <v>0</v>
      </c>
      <c r="AC403" s="1086">
        <v>66511.03</v>
      </c>
      <c r="AD403" s="1086" t="s">
        <v>248</v>
      </c>
      <c r="AE403" s="1086" t="s">
        <v>3877</v>
      </c>
      <c r="AF403" s="1086">
        <f t="shared" si="25"/>
        <v>66511.030000000013</v>
      </c>
      <c r="AG403" s="1086">
        <f t="shared" si="24"/>
        <v>0</v>
      </c>
      <c r="AQ403" s="1086">
        <v>0</v>
      </c>
      <c r="AR403" s="1086">
        <v>0</v>
      </c>
      <c r="AS403" s="1086">
        <v>66511.03</v>
      </c>
      <c r="AT403" s="1086">
        <f t="shared" si="26"/>
        <v>0</v>
      </c>
      <c r="AV403" s="1150">
        <f t="shared" si="27"/>
        <v>63074.909999999989</v>
      </c>
    </row>
    <row r="404" spans="1:48" x14ac:dyDescent="0.2">
      <c r="A404" s="19">
        <v>410</v>
      </c>
      <c r="B404" t="s">
        <v>1704</v>
      </c>
      <c r="C404" t="s">
        <v>2066</v>
      </c>
      <c r="D404" t="s">
        <v>1045</v>
      </c>
      <c r="E404" t="s">
        <v>2221</v>
      </c>
      <c r="F404" t="s">
        <v>2416</v>
      </c>
      <c r="G404" t="s">
        <v>1250</v>
      </c>
      <c r="H404" t="s">
        <v>3825</v>
      </c>
      <c r="I404">
        <v>2221</v>
      </c>
      <c r="J404" t="s">
        <v>3255</v>
      </c>
      <c r="K404" t="s">
        <v>3600</v>
      </c>
      <c r="L404" t="s">
        <v>2872</v>
      </c>
      <c r="M404" s="1086">
        <v>373562.56</v>
      </c>
      <c r="N404" s="1086">
        <v>0</v>
      </c>
      <c r="O404" s="1086">
        <v>197700.6</v>
      </c>
      <c r="P404" s="1086">
        <v>26807.89</v>
      </c>
      <c r="Q404" s="1086">
        <v>0</v>
      </c>
      <c r="R404" s="1086">
        <v>0</v>
      </c>
      <c r="S404" s="1086">
        <v>0</v>
      </c>
      <c r="T404" s="1086">
        <v>1080.55</v>
      </c>
      <c r="U404" s="1086">
        <v>33735.980000000003</v>
      </c>
      <c r="V404" s="1086">
        <v>0</v>
      </c>
      <c r="W404" s="1086">
        <v>0</v>
      </c>
      <c r="X404" s="1086">
        <v>14670.16</v>
      </c>
      <c r="Y404" s="1086">
        <v>0</v>
      </c>
      <c r="Z404" s="1086">
        <v>0</v>
      </c>
      <c r="AA404" s="1086">
        <v>283049</v>
      </c>
      <c r="AB404" s="1086">
        <v>0</v>
      </c>
      <c r="AC404" s="1086">
        <v>211919.58</v>
      </c>
      <c r="AD404" s="1086" t="s">
        <v>248</v>
      </c>
      <c r="AE404" s="1086" t="s">
        <v>3877</v>
      </c>
      <c r="AF404" s="1086">
        <f t="shared" si="25"/>
        <v>211919.58000000002</v>
      </c>
      <c r="AG404" s="1086">
        <f t="shared" si="24"/>
        <v>0</v>
      </c>
      <c r="AQ404" s="1086">
        <v>0</v>
      </c>
      <c r="AR404" s="1086">
        <v>0</v>
      </c>
      <c r="AS404" s="1086">
        <v>211919.58</v>
      </c>
      <c r="AT404" s="1086">
        <f t="shared" si="26"/>
        <v>0</v>
      </c>
      <c r="AV404" s="1150">
        <f t="shared" si="27"/>
        <v>359343.58</v>
      </c>
    </row>
    <row r="405" spans="1:48" x14ac:dyDescent="0.2">
      <c r="A405" s="19">
        <v>411</v>
      </c>
      <c r="B405" t="s">
        <v>1705</v>
      </c>
      <c r="C405" s="167" t="s">
        <v>3907</v>
      </c>
      <c r="D405" t="s">
        <v>1045</v>
      </c>
      <c r="E405" t="s">
        <v>2221</v>
      </c>
      <c r="F405" t="s">
        <v>2416</v>
      </c>
      <c r="G405" t="s">
        <v>1250</v>
      </c>
      <c r="H405" t="s">
        <v>3823</v>
      </c>
      <c r="I405">
        <v>0</v>
      </c>
      <c r="L405" t="s">
        <v>2873</v>
      </c>
      <c r="M405" s="1086">
        <v>164238.73000000001</v>
      </c>
      <c r="N405" s="1086">
        <v>151987.68</v>
      </c>
      <c r="O405" s="1086">
        <v>0</v>
      </c>
      <c r="P405" s="1086">
        <v>0</v>
      </c>
      <c r="Q405" s="1086">
        <v>0</v>
      </c>
      <c r="R405" s="1086">
        <v>0</v>
      </c>
      <c r="S405" s="1086">
        <v>0</v>
      </c>
      <c r="T405" s="1086">
        <v>0</v>
      </c>
      <c r="U405" s="1086">
        <v>45</v>
      </c>
      <c r="V405" s="1086">
        <v>0</v>
      </c>
      <c r="W405" s="1086">
        <v>0</v>
      </c>
      <c r="X405" s="1086">
        <v>0</v>
      </c>
      <c r="Y405" s="1086">
        <v>0</v>
      </c>
      <c r="Z405" s="1086">
        <v>0</v>
      </c>
      <c r="AA405" s="1086">
        <v>263134.28000000003</v>
      </c>
      <c r="AB405" s="1086">
        <v>0</v>
      </c>
      <c r="AC405" s="1086">
        <v>53047.13</v>
      </c>
      <c r="AD405" s="1086" t="s">
        <v>248</v>
      </c>
      <c r="AE405" s="1086" t="s">
        <v>3877</v>
      </c>
      <c r="AF405" s="1086">
        <f t="shared" si="25"/>
        <v>53047.130000000005</v>
      </c>
      <c r="AG405" s="1086">
        <f t="shared" si="24"/>
        <v>0</v>
      </c>
      <c r="AQ405" s="1086">
        <v>0</v>
      </c>
      <c r="AR405" s="1086">
        <v>0</v>
      </c>
      <c r="AS405" s="1086">
        <v>49547.31</v>
      </c>
      <c r="AT405" s="1086">
        <f t="shared" si="26"/>
        <v>3499.8199999999997</v>
      </c>
      <c r="AU405" s="167" t="s">
        <v>3916</v>
      </c>
      <c r="AV405" s="1150">
        <f t="shared" si="27"/>
        <v>263179.28000000003</v>
      </c>
    </row>
    <row r="406" spans="1:48" x14ac:dyDescent="0.2">
      <c r="A406" s="19">
        <v>412</v>
      </c>
      <c r="B406" t="s">
        <v>1706</v>
      </c>
      <c r="C406" t="s">
        <v>2067</v>
      </c>
      <c r="D406" t="s">
        <v>1031</v>
      </c>
      <c r="E406" t="s">
        <v>2242</v>
      </c>
      <c r="F406" t="s">
        <v>2436</v>
      </c>
      <c r="G406" t="s">
        <v>3831</v>
      </c>
      <c r="H406" t="s">
        <v>3824</v>
      </c>
      <c r="I406" t="s">
        <v>3842</v>
      </c>
      <c r="J406" t="s">
        <v>3341</v>
      </c>
      <c r="K406" t="s">
        <v>3601</v>
      </c>
      <c r="L406" t="s">
        <v>2874</v>
      </c>
      <c r="M406" s="1086">
        <v>406955.45</v>
      </c>
      <c r="N406" s="1086">
        <v>562864.18000000005</v>
      </c>
      <c r="O406" s="1086">
        <v>0</v>
      </c>
      <c r="P406" s="1086">
        <v>387831.17</v>
      </c>
      <c r="Q406" s="1086">
        <v>0</v>
      </c>
      <c r="R406" s="1086">
        <v>131553.39000000001</v>
      </c>
      <c r="S406" s="1086">
        <v>0</v>
      </c>
      <c r="T406" s="1086">
        <v>103335.25</v>
      </c>
      <c r="U406" s="1086">
        <v>267660.01</v>
      </c>
      <c r="V406" s="1086">
        <v>0</v>
      </c>
      <c r="W406" s="1086">
        <v>0</v>
      </c>
      <c r="X406" s="1086">
        <v>0</v>
      </c>
      <c r="Y406" s="1086">
        <v>0</v>
      </c>
      <c r="Z406" s="1086">
        <v>0</v>
      </c>
      <c r="AA406" s="1086">
        <v>20549.53</v>
      </c>
      <c r="AB406" s="1086">
        <v>16945</v>
      </c>
      <c r="AC406" s="1086">
        <v>41945.279999999999</v>
      </c>
      <c r="AD406" s="1103" t="s">
        <v>1252</v>
      </c>
      <c r="AE406" s="1086" t="s">
        <v>3879</v>
      </c>
      <c r="AF406" s="1086">
        <f t="shared" si="25"/>
        <v>41945.280000000028</v>
      </c>
      <c r="AG406" s="1086">
        <f t="shared" si="24"/>
        <v>0</v>
      </c>
      <c r="AQ406" s="1086">
        <v>0</v>
      </c>
      <c r="AR406" s="1086">
        <v>0</v>
      </c>
      <c r="AS406" s="1086">
        <v>41945.279999999999</v>
      </c>
      <c r="AT406" s="1086">
        <f t="shared" si="26"/>
        <v>0</v>
      </c>
      <c r="AV406" s="1150">
        <f t="shared" si="27"/>
        <v>927874.35000000009</v>
      </c>
    </row>
    <row r="407" spans="1:48" x14ac:dyDescent="0.2">
      <c r="A407" s="19">
        <v>414</v>
      </c>
      <c r="B407" t="s">
        <v>1707</v>
      </c>
      <c r="C407" t="s">
        <v>2068</v>
      </c>
      <c r="D407" t="s">
        <v>1038</v>
      </c>
      <c r="E407" t="s">
        <v>2116</v>
      </c>
      <c r="F407" t="s">
        <v>2313</v>
      </c>
      <c r="G407" t="s">
        <v>1257</v>
      </c>
      <c r="H407" t="s">
        <v>3822</v>
      </c>
      <c r="I407">
        <v>0</v>
      </c>
      <c r="L407" t="s">
        <v>2875</v>
      </c>
      <c r="M407" s="1086">
        <v>11491462.32</v>
      </c>
      <c r="N407" s="1086">
        <v>16490254.09</v>
      </c>
      <c r="O407" s="1086">
        <v>0</v>
      </c>
      <c r="P407" s="1086">
        <v>6804767.2300000004</v>
      </c>
      <c r="Q407" s="1086">
        <v>20726.5</v>
      </c>
      <c r="R407" s="1086">
        <v>132583.48000000001</v>
      </c>
      <c r="S407" s="1086">
        <v>9440.4</v>
      </c>
      <c r="T407" s="1086">
        <v>531611.80000000005</v>
      </c>
      <c r="U407" s="1086">
        <v>319338.40999999997</v>
      </c>
      <c r="V407" s="1086">
        <v>0</v>
      </c>
      <c r="W407" s="1086">
        <v>0</v>
      </c>
      <c r="X407" s="1086">
        <v>3283.89</v>
      </c>
      <c r="Y407" s="1086">
        <v>0</v>
      </c>
      <c r="Z407" s="1086">
        <v>0</v>
      </c>
      <c r="AA407" s="1086">
        <v>8386444.6600000001</v>
      </c>
      <c r="AB407" s="1086">
        <v>0</v>
      </c>
      <c r="AC407" s="1086">
        <v>11773520.039999999</v>
      </c>
      <c r="AD407" s="1086" t="s">
        <v>248</v>
      </c>
      <c r="AE407" s="1086" t="s">
        <v>3877</v>
      </c>
      <c r="AF407" s="1086">
        <f t="shared" si="25"/>
        <v>11773520.039999999</v>
      </c>
      <c r="AG407" s="1086">
        <f t="shared" si="24"/>
        <v>0</v>
      </c>
      <c r="AQ407" s="1086">
        <v>0</v>
      </c>
      <c r="AR407" s="1086">
        <v>0</v>
      </c>
      <c r="AS407" s="1086">
        <v>11773520.039999999</v>
      </c>
      <c r="AT407" s="1086">
        <f t="shared" si="26"/>
        <v>0</v>
      </c>
      <c r="AV407" s="1150">
        <f t="shared" si="27"/>
        <v>16208196.370000001</v>
      </c>
    </row>
    <row r="408" spans="1:48" x14ac:dyDescent="0.2">
      <c r="A408" s="19">
        <v>415</v>
      </c>
      <c r="B408" t="s">
        <v>1708</v>
      </c>
      <c r="C408" t="s">
        <v>2069</v>
      </c>
      <c r="D408" t="s">
        <v>1056</v>
      </c>
      <c r="E408" t="s">
        <v>2096</v>
      </c>
      <c r="F408" t="s">
        <v>2298</v>
      </c>
      <c r="G408" t="s">
        <v>1256</v>
      </c>
      <c r="H408" t="s">
        <v>3827</v>
      </c>
      <c r="I408">
        <v>0</v>
      </c>
      <c r="L408" t="s">
        <v>2876</v>
      </c>
      <c r="M408" s="1086">
        <v>487316.1</v>
      </c>
      <c r="N408" s="1086">
        <v>28499.279999999999</v>
      </c>
      <c r="O408" s="1086">
        <v>0</v>
      </c>
      <c r="P408" s="1086">
        <v>386132.1</v>
      </c>
      <c r="Q408" s="1086">
        <v>0</v>
      </c>
      <c r="R408" s="1086">
        <v>0</v>
      </c>
      <c r="S408" s="1086">
        <v>0</v>
      </c>
      <c r="T408" s="1086">
        <v>101944.3</v>
      </c>
      <c r="U408" s="1086">
        <v>0</v>
      </c>
      <c r="V408" s="1086">
        <v>0</v>
      </c>
      <c r="W408" s="1086">
        <v>0</v>
      </c>
      <c r="X408" s="1086">
        <v>0</v>
      </c>
      <c r="Y408" s="1086">
        <v>0</v>
      </c>
      <c r="Z408" s="1086">
        <v>0</v>
      </c>
      <c r="AA408" s="1086">
        <v>1000.1</v>
      </c>
      <c r="AB408" s="1086">
        <v>0</v>
      </c>
      <c r="AC408" s="1086">
        <v>26738.880000000001</v>
      </c>
      <c r="AD408" s="1086" t="s">
        <v>248</v>
      </c>
      <c r="AE408" s="1086" t="s">
        <v>3877</v>
      </c>
      <c r="AF408" s="1086">
        <f t="shared" si="25"/>
        <v>26738.880000000063</v>
      </c>
      <c r="AG408" s="1086">
        <f t="shared" si="24"/>
        <v>-6.184563972055912E-11</v>
      </c>
      <c r="AQ408" s="1086">
        <v>0</v>
      </c>
      <c r="AR408" s="1086">
        <v>0</v>
      </c>
      <c r="AS408" s="1086">
        <v>26738.880000000001</v>
      </c>
      <c r="AT408" s="1086">
        <f t="shared" si="26"/>
        <v>0</v>
      </c>
      <c r="AV408" s="1150">
        <f t="shared" si="27"/>
        <v>489076.49999999994</v>
      </c>
    </row>
    <row r="409" spans="1:48" x14ac:dyDescent="0.2">
      <c r="A409" s="19">
        <v>416</v>
      </c>
      <c r="B409" t="s">
        <v>1709</v>
      </c>
      <c r="C409" t="s">
        <v>2069</v>
      </c>
      <c r="D409" t="s">
        <v>1056</v>
      </c>
      <c r="E409" t="s">
        <v>2096</v>
      </c>
      <c r="F409" t="s">
        <v>2298</v>
      </c>
      <c r="G409" t="s">
        <v>1256</v>
      </c>
      <c r="H409" t="s">
        <v>3827</v>
      </c>
      <c r="I409">
        <v>0</v>
      </c>
      <c r="L409" t="s">
        <v>2877</v>
      </c>
      <c r="M409" s="1086">
        <v>439115.94</v>
      </c>
      <c r="N409" s="1086">
        <v>800358.05</v>
      </c>
      <c r="O409" s="1086">
        <v>0</v>
      </c>
      <c r="P409" s="1086">
        <v>0</v>
      </c>
      <c r="Q409" s="1086">
        <v>0</v>
      </c>
      <c r="R409" s="1086">
        <v>0</v>
      </c>
      <c r="S409" s="1086">
        <v>0</v>
      </c>
      <c r="T409" s="1086">
        <v>0</v>
      </c>
      <c r="U409" s="1086">
        <v>8647.2800000000007</v>
      </c>
      <c r="V409" s="1086">
        <v>0</v>
      </c>
      <c r="W409" s="1086">
        <v>0</v>
      </c>
      <c r="X409" s="1086">
        <v>0</v>
      </c>
      <c r="Y409" s="1086">
        <v>0</v>
      </c>
      <c r="Z409" s="1086">
        <v>0</v>
      </c>
      <c r="AA409" s="1086">
        <v>749523.9</v>
      </c>
      <c r="AB409" s="1086">
        <v>0</v>
      </c>
      <c r="AC409" s="1086">
        <v>481302.81</v>
      </c>
      <c r="AD409" s="1086" t="s">
        <v>248</v>
      </c>
      <c r="AE409" s="1086" t="s">
        <v>3877</v>
      </c>
      <c r="AF409" s="1086">
        <f t="shared" si="25"/>
        <v>481302.80999999994</v>
      </c>
      <c r="AG409" s="1086">
        <f t="shared" si="24"/>
        <v>0</v>
      </c>
      <c r="AQ409" s="1086">
        <v>0</v>
      </c>
      <c r="AR409" s="1086">
        <v>0</v>
      </c>
      <c r="AS409" s="1086">
        <v>481302.81</v>
      </c>
      <c r="AT409" s="1086">
        <f t="shared" si="26"/>
        <v>0</v>
      </c>
      <c r="AV409" s="1150">
        <f t="shared" si="27"/>
        <v>758171.18</v>
      </c>
    </row>
    <row r="410" spans="1:48" x14ac:dyDescent="0.2">
      <c r="A410" s="19">
        <v>417</v>
      </c>
      <c r="B410" t="s">
        <v>1710</v>
      </c>
      <c r="C410" t="s">
        <v>2069</v>
      </c>
      <c r="D410" t="s">
        <v>1044</v>
      </c>
      <c r="E410" t="s">
        <v>2243</v>
      </c>
      <c r="F410" t="s">
        <v>2437</v>
      </c>
      <c r="G410" t="s">
        <v>1250</v>
      </c>
      <c r="H410" t="s">
        <v>3822</v>
      </c>
      <c r="I410">
        <v>0</v>
      </c>
      <c r="L410" t="s">
        <v>2878</v>
      </c>
      <c r="M410" s="1086">
        <v>12659.04</v>
      </c>
      <c r="N410" s="1086">
        <v>14703.33</v>
      </c>
      <c r="O410" s="1086">
        <v>0</v>
      </c>
      <c r="P410" s="1086">
        <v>1240</v>
      </c>
      <c r="Q410" s="1086">
        <v>0</v>
      </c>
      <c r="R410" s="1086">
        <v>0</v>
      </c>
      <c r="S410" s="1086">
        <v>0</v>
      </c>
      <c r="T410" s="1086">
        <v>38.94</v>
      </c>
      <c r="U410" s="1086">
        <v>16440</v>
      </c>
      <c r="V410" s="1086">
        <v>0</v>
      </c>
      <c r="W410" s="1086">
        <v>0</v>
      </c>
      <c r="X410" s="1086">
        <v>0</v>
      </c>
      <c r="Y410" s="1086">
        <v>0</v>
      </c>
      <c r="Z410" s="1086">
        <v>0</v>
      </c>
      <c r="AA410" s="1086">
        <v>514.62</v>
      </c>
      <c r="AB410" s="1086">
        <v>0</v>
      </c>
      <c r="AC410" s="1086">
        <v>9128.81</v>
      </c>
      <c r="AD410" s="1086" t="s">
        <v>248</v>
      </c>
      <c r="AE410" s="1086" t="s">
        <v>3877</v>
      </c>
      <c r="AF410" s="1086">
        <f t="shared" si="25"/>
        <v>9128.8100000000049</v>
      </c>
      <c r="AG410" s="1086">
        <f t="shared" si="24"/>
        <v>0</v>
      </c>
      <c r="AQ410" s="1086">
        <v>0</v>
      </c>
      <c r="AR410" s="1086">
        <v>0</v>
      </c>
      <c r="AS410" s="1086">
        <v>9128.81</v>
      </c>
      <c r="AT410" s="1086">
        <f t="shared" si="26"/>
        <v>0</v>
      </c>
      <c r="AV410" s="1150">
        <f t="shared" si="27"/>
        <v>18233.559999999998</v>
      </c>
    </row>
    <row r="411" spans="1:48" x14ac:dyDescent="0.2">
      <c r="A411" s="19">
        <v>418</v>
      </c>
      <c r="B411" t="s">
        <v>1711</v>
      </c>
      <c r="C411" t="s">
        <v>2069</v>
      </c>
      <c r="D411" t="s">
        <v>1061</v>
      </c>
      <c r="E411" t="s">
        <v>2244</v>
      </c>
      <c r="F411" t="s">
        <v>2438</v>
      </c>
      <c r="G411" t="s">
        <v>1259</v>
      </c>
      <c r="H411" t="s">
        <v>3826</v>
      </c>
      <c r="I411">
        <v>0</v>
      </c>
      <c r="L411" t="s">
        <v>2879</v>
      </c>
      <c r="M411" s="1086">
        <v>508735.28</v>
      </c>
      <c r="N411" s="1086">
        <v>235220.34</v>
      </c>
      <c r="O411" s="1086">
        <v>0</v>
      </c>
      <c r="P411" s="1086">
        <v>0</v>
      </c>
      <c r="Q411" s="1086">
        <v>0</v>
      </c>
      <c r="R411" s="1086">
        <v>0</v>
      </c>
      <c r="S411" s="1086">
        <v>0</v>
      </c>
      <c r="T411" s="1086">
        <v>0</v>
      </c>
      <c r="U411" s="1086">
        <v>0</v>
      </c>
      <c r="V411" s="1086">
        <v>0</v>
      </c>
      <c r="W411" s="1086">
        <v>0</v>
      </c>
      <c r="X411" s="1086">
        <v>0</v>
      </c>
      <c r="Y411" s="1086">
        <v>0</v>
      </c>
      <c r="Z411" s="1086">
        <v>0</v>
      </c>
      <c r="AA411" s="1086">
        <v>620000</v>
      </c>
      <c r="AB411" s="1086">
        <v>0</v>
      </c>
      <c r="AC411" s="1086">
        <v>123955.62</v>
      </c>
      <c r="AD411" s="1086" t="s">
        <v>248</v>
      </c>
      <c r="AE411" s="1086" t="s">
        <v>3877</v>
      </c>
      <c r="AF411" s="1086">
        <f t="shared" si="25"/>
        <v>123955.62</v>
      </c>
      <c r="AG411" s="1086">
        <f t="shared" si="24"/>
        <v>0</v>
      </c>
      <c r="AQ411" s="1086">
        <v>0</v>
      </c>
      <c r="AR411" s="1086">
        <v>0</v>
      </c>
      <c r="AS411" s="1086">
        <v>123955.62</v>
      </c>
      <c r="AT411" s="1086">
        <f t="shared" si="26"/>
        <v>0</v>
      </c>
      <c r="AV411" s="1150">
        <f t="shared" si="27"/>
        <v>620000</v>
      </c>
    </row>
    <row r="412" spans="1:48" x14ac:dyDescent="0.2">
      <c r="A412" s="19">
        <v>419</v>
      </c>
      <c r="B412" t="s">
        <v>1712</v>
      </c>
      <c r="C412" t="s">
        <v>2069</v>
      </c>
      <c r="D412" t="s">
        <v>1040</v>
      </c>
      <c r="E412" t="s">
        <v>2212</v>
      </c>
      <c r="F412" t="s">
        <v>2407</v>
      </c>
      <c r="G412" t="s">
        <v>1257</v>
      </c>
      <c r="H412" t="s">
        <v>3822</v>
      </c>
      <c r="I412">
        <v>0</v>
      </c>
      <c r="L412" t="s">
        <v>2880</v>
      </c>
      <c r="M412" s="1086">
        <v>1884.75</v>
      </c>
      <c r="N412" s="1086">
        <v>7351.67</v>
      </c>
      <c r="O412" s="1086">
        <v>0</v>
      </c>
      <c r="P412" s="1086">
        <v>0</v>
      </c>
      <c r="Q412" s="1086">
        <v>0</v>
      </c>
      <c r="R412" s="1086">
        <v>0</v>
      </c>
      <c r="S412" s="1086">
        <v>0</v>
      </c>
      <c r="T412" s="1086">
        <v>0</v>
      </c>
      <c r="U412" s="1086">
        <v>7781.06</v>
      </c>
      <c r="V412" s="1086">
        <v>0</v>
      </c>
      <c r="W412" s="1086">
        <v>0</v>
      </c>
      <c r="X412" s="1086">
        <v>0</v>
      </c>
      <c r="Y412" s="1086">
        <v>0</v>
      </c>
      <c r="Z412" s="1086">
        <v>0</v>
      </c>
      <c r="AA412" s="1086">
        <v>257.31</v>
      </c>
      <c r="AB412" s="1086">
        <v>0</v>
      </c>
      <c r="AC412" s="1086">
        <v>1198.05</v>
      </c>
      <c r="AD412" s="1086" t="s">
        <v>248</v>
      </c>
      <c r="AE412" s="1086" t="s">
        <v>3877</v>
      </c>
      <c r="AF412" s="1086">
        <f t="shared" si="25"/>
        <v>1198.0499999999993</v>
      </c>
      <c r="AG412" s="1086">
        <f t="shared" si="24"/>
        <v>0</v>
      </c>
      <c r="AQ412" s="1086">
        <v>0</v>
      </c>
      <c r="AR412" s="1086">
        <v>0</v>
      </c>
      <c r="AS412" s="1086">
        <v>1198.05</v>
      </c>
      <c r="AT412" s="1086">
        <f t="shared" si="26"/>
        <v>0</v>
      </c>
      <c r="AV412" s="1150">
        <f t="shared" si="27"/>
        <v>8038.3700000000008</v>
      </c>
    </row>
    <row r="413" spans="1:48" x14ac:dyDescent="0.2">
      <c r="A413" s="19">
        <v>420</v>
      </c>
      <c r="B413" t="s">
        <v>1713</v>
      </c>
      <c r="C413" t="s">
        <v>2070</v>
      </c>
      <c r="D413" t="s">
        <v>1040</v>
      </c>
      <c r="E413" t="s">
        <v>2121</v>
      </c>
      <c r="F413" t="s">
        <v>2318</v>
      </c>
      <c r="G413" t="s">
        <v>1257</v>
      </c>
      <c r="H413" t="s">
        <v>3829</v>
      </c>
      <c r="I413">
        <v>2249</v>
      </c>
      <c r="J413" t="s">
        <v>3463</v>
      </c>
      <c r="K413" t="s">
        <v>3602</v>
      </c>
      <c r="L413" t="s">
        <v>2881</v>
      </c>
      <c r="M413" s="1086">
        <v>1668741.81</v>
      </c>
      <c r="N413" s="1086">
        <v>16778493.390000001</v>
      </c>
      <c r="O413" s="1086">
        <v>-24000</v>
      </c>
      <c r="P413" s="1086">
        <v>0</v>
      </c>
      <c r="Q413" s="1086">
        <v>0</v>
      </c>
      <c r="R413" s="1086">
        <v>0</v>
      </c>
      <c r="S413" s="1086">
        <v>0</v>
      </c>
      <c r="T413" s="1086">
        <v>13761.78</v>
      </c>
      <c r="U413" s="1086">
        <v>0</v>
      </c>
      <c r="V413" s="1086">
        <v>0</v>
      </c>
      <c r="W413" s="1086">
        <v>0</v>
      </c>
      <c r="X413" s="1086">
        <v>0</v>
      </c>
      <c r="Y413" s="1086">
        <v>0</v>
      </c>
      <c r="Z413" s="1086">
        <v>16696711.960000001</v>
      </c>
      <c r="AA413" s="1086">
        <v>0</v>
      </c>
      <c r="AB413" s="1086">
        <v>0</v>
      </c>
      <c r="AC413" s="1086">
        <v>1712761.46</v>
      </c>
      <c r="AD413" s="1086" t="s">
        <v>248</v>
      </c>
      <c r="AE413" s="1086" t="s">
        <v>3877</v>
      </c>
      <c r="AF413" s="1086">
        <f t="shared" si="25"/>
        <v>1712761.459999999</v>
      </c>
      <c r="AG413" s="1086">
        <f t="shared" si="24"/>
        <v>0</v>
      </c>
      <c r="AQ413" s="1086">
        <v>0</v>
      </c>
      <c r="AR413" s="1086">
        <v>0</v>
      </c>
      <c r="AS413" s="1086">
        <v>1714357.45</v>
      </c>
      <c r="AT413" s="1086">
        <f t="shared" si="26"/>
        <v>-1595.9899999999907</v>
      </c>
      <c r="AU413" s="167" t="s">
        <v>3912</v>
      </c>
      <c r="AV413" s="1150">
        <f t="shared" si="27"/>
        <v>16710473.74</v>
      </c>
    </row>
    <row r="414" spans="1:48" x14ac:dyDescent="0.2">
      <c r="A414" s="19">
        <v>421</v>
      </c>
      <c r="B414" t="s">
        <v>1714</v>
      </c>
      <c r="C414" t="s">
        <v>2070</v>
      </c>
      <c r="D414" t="s">
        <v>1031</v>
      </c>
      <c r="E414" t="s">
        <v>2245</v>
      </c>
      <c r="F414" t="s">
        <v>2439</v>
      </c>
      <c r="G414" t="s">
        <v>3831</v>
      </c>
      <c r="H414" t="s">
        <v>3829</v>
      </c>
      <c r="I414">
        <v>2221</v>
      </c>
      <c r="J414" t="s">
        <v>3463</v>
      </c>
      <c r="K414" t="s">
        <v>3603</v>
      </c>
      <c r="L414" t="s">
        <v>2882</v>
      </c>
      <c r="M414" s="1086">
        <v>1659116.21</v>
      </c>
      <c r="N414" s="1086">
        <v>444119.75</v>
      </c>
      <c r="O414" s="1086">
        <v>0</v>
      </c>
      <c r="P414" s="1086">
        <v>0</v>
      </c>
      <c r="Q414" s="1086">
        <v>0</v>
      </c>
      <c r="R414" s="1086">
        <v>0</v>
      </c>
      <c r="S414" s="1086">
        <v>0</v>
      </c>
      <c r="T414" s="1086">
        <v>0</v>
      </c>
      <c r="U414" s="1086">
        <v>0</v>
      </c>
      <c r="V414" s="1086">
        <v>0</v>
      </c>
      <c r="W414" s="1086">
        <v>0</v>
      </c>
      <c r="X414" s="1086">
        <v>0</v>
      </c>
      <c r="Y414" s="1086">
        <v>0</v>
      </c>
      <c r="Z414" s="1086">
        <v>398332</v>
      </c>
      <c r="AA414" s="1086">
        <v>0</v>
      </c>
      <c r="AB414" s="1086">
        <v>0</v>
      </c>
      <c r="AC414" s="1086">
        <v>1704903.96</v>
      </c>
      <c r="AD414" s="1103" t="s">
        <v>1252</v>
      </c>
      <c r="AE414" s="1086" t="s">
        <v>3879</v>
      </c>
      <c r="AF414" s="1086">
        <f t="shared" si="25"/>
        <v>1704903.96</v>
      </c>
      <c r="AG414" s="1086">
        <f t="shared" si="24"/>
        <v>0</v>
      </c>
      <c r="AQ414" s="1086">
        <v>0</v>
      </c>
      <c r="AR414" s="1086">
        <v>0</v>
      </c>
      <c r="AS414" s="1086">
        <v>1704903.96</v>
      </c>
      <c r="AT414" s="1086">
        <f t="shared" si="26"/>
        <v>0</v>
      </c>
      <c r="AV414" s="1150">
        <f t="shared" si="27"/>
        <v>398332</v>
      </c>
    </row>
    <row r="415" spans="1:48" x14ac:dyDescent="0.2">
      <c r="A415" s="19">
        <v>422</v>
      </c>
      <c r="B415" t="s">
        <v>1715</v>
      </c>
      <c r="C415" t="s">
        <v>2070</v>
      </c>
      <c r="D415" t="s">
        <v>1055</v>
      </c>
      <c r="E415" t="s">
        <v>2246</v>
      </c>
      <c r="F415" t="s">
        <v>2440</v>
      </c>
      <c r="G415" t="s">
        <v>3832</v>
      </c>
      <c r="H415" t="s">
        <v>3829</v>
      </c>
      <c r="I415">
        <v>2249</v>
      </c>
      <c r="J415" t="s">
        <v>3463</v>
      </c>
      <c r="K415" t="s">
        <v>3604</v>
      </c>
      <c r="L415" t="s">
        <v>2883</v>
      </c>
      <c r="M415" s="1086">
        <v>20437.5</v>
      </c>
      <c r="N415" s="1086">
        <v>486000</v>
      </c>
      <c r="O415" s="1086">
        <v>0</v>
      </c>
      <c r="P415" s="1086">
        <v>0</v>
      </c>
      <c r="Q415" s="1086">
        <v>0</v>
      </c>
      <c r="R415" s="1086">
        <v>0</v>
      </c>
      <c r="S415" s="1086">
        <v>0</v>
      </c>
      <c r="T415" s="1086">
        <v>0</v>
      </c>
      <c r="U415" s="1086">
        <v>0</v>
      </c>
      <c r="V415" s="1086">
        <v>0</v>
      </c>
      <c r="W415" s="1086">
        <v>0</v>
      </c>
      <c r="X415" s="1086">
        <v>0</v>
      </c>
      <c r="Y415" s="1086">
        <v>0</v>
      </c>
      <c r="Z415" s="1086">
        <v>479000</v>
      </c>
      <c r="AA415" s="1086">
        <v>0</v>
      </c>
      <c r="AB415" s="1086">
        <v>0</v>
      </c>
      <c r="AC415" s="1086">
        <v>27437.5</v>
      </c>
      <c r="AD415" s="1103" t="s">
        <v>1253</v>
      </c>
      <c r="AE415" s="1086" t="s">
        <v>3881</v>
      </c>
      <c r="AF415" s="1086">
        <f t="shared" si="25"/>
        <v>27437.5</v>
      </c>
      <c r="AG415" s="1086">
        <f t="shared" si="24"/>
        <v>0</v>
      </c>
      <c r="AQ415" s="1086">
        <v>0</v>
      </c>
      <c r="AR415" s="1086">
        <v>0</v>
      </c>
      <c r="AS415" s="1086">
        <v>27437.5</v>
      </c>
      <c r="AT415" s="1086">
        <f t="shared" si="26"/>
        <v>0</v>
      </c>
      <c r="AV415" s="1150">
        <f t="shared" si="27"/>
        <v>479000</v>
      </c>
    </row>
    <row r="416" spans="1:48" x14ac:dyDescent="0.2">
      <c r="A416" s="19">
        <v>423</v>
      </c>
      <c r="B416" t="s">
        <v>1716</v>
      </c>
      <c r="C416" t="s">
        <v>2070</v>
      </c>
      <c r="D416" t="s">
        <v>1037</v>
      </c>
      <c r="E416" t="s">
        <v>2207</v>
      </c>
      <c r="F416" t="s">
        <v>2402</v>
      </c>
      <c r="G416" t="s">
        <v>1250</v>
      </c>
      <c r="H416" t="s">
        <v>3829</v>
      </c>
      <c r="I416">
        <v>2249</v>
      </c>
      <c r="J416" t="s">
        <v>3463</v>
      </c>
      <c r="K416" t="s">
        <v>3605</v>
      </c>
      <c r="L416" t="s">
        <v>2884</v>
      </c>
      <c r="M416" s="1086">
        <v>1231894.0900000001</v>
      </c>
      <c r="N416" s="1086">
        <v>2176287.09</v>
      </c>
      <c r="O416" s="1086">
        <v>24000</v>
      </c>
      <c r="P416" s="1086">
        <v>0</v>
      </c>
      <c r="Q416" s="1086">
        <v>0</v>
      </c>
      <c r="R416" s="1086">
        <v>0</v>
      </c>
      <c r="S416" s="1086">
        <v>0</v>
      </c>
      <c r="T416" s="1086">
        <v>0</v>
      </c>
      <c r="U416" s="1086">
        <v>0</v>
      </c>
      <c r="V416" s="1086">
        <v>0</v>
      </c>
      <c r="W416" s="1086">
        <v>0</v>
      </c>
      <c r="X416" s="1086">
        <v>0</v>
      </c>
      <c r="Y416" s="1086">
        <v>0</v>
      </c>
      <c r="Z416" s="1086">
        <v>2432093.35</v>
      </c>
      <c r="AA416" s="1086">
        <v>0</v>
      </c>
      <c r="AB416" s="1086">
        <v>0</v>
      </c>
      <c r="AC416" s="1086">
        <v>1000087.83</v>
      </c>
      <c r="AD416" s="1086" t="s">
        <v>248</v>
      </c>
      <c r="AE416" s="1086" t="s">
        <v>3877</v>
      </c>
      <c r="AF416" s="1086">
        <f t="shared" si="25"/>
        <v>1000087.8299999996</v>
      </c>
      <c r="AG416" s="1086">
        <f t="shared" si="24"/>
        <v>0</v>
      </c>
      <c r="AQ416" s="1086">
        <v>0</v>
      </c>
      <c r="AR416" s="1086">
        <v>0</v>
      </c>
      <c r="AS416" s="1086">
        <v>1002515.51</v>
      </c>
      <c r="AT416" s="1086">
        <f t="shared" si="26"/>
        <v>-2427.6800000000512</v>
      </c>
      <c r="AU416" s="167" t="s">
        <v>3912</v>
      </c>
      <c r="AV416" s="1150">
        <f t="shared" si="27"/>
        <v>2432093.35</v>
      </c>
    </row>
    <row r="417" spans="1:48" x14ac:dyDescent="0.2">
      <c r="A417" s="19">
        <v>424</v>
      </c>
      <c r="B417" t="s">
        <v>1717</v>
      </c>
      <c r="C417" t="s">
        <v>2070</v>
      </c>
      <c r="D417" t="s">
        <v>1034</v>
      </c>
      <c r="E417" t="s">
        <v>2218</v>
      </c>
      <c r="F417" t="s">
        <v>2413</v>
      </c>
      <c r="G417" t="s">
        <v>3833</v>
      </c>
      <c r="H417" t="s">
        <v>3829</v>
      </c>
      <c r="I417">
        <v>2249</v>
      </c>
      <c r="J417" t="s">
        <v>3463</v>
      </c>
      <c r="K417" t="s">
        <v>3606</v>
      </c>
      <c r="L417" t="s">
        <v>2885</v>
      </c>
      <c r="M417" s="1086">
        <v>406352.43</v>
      </c>
      <c r="N417" s="1086">
        <v>2286523.63</v>
      </c>
      <c r="O417" s="1086">
        <v>0</v>
      </c>
      <c r="P417" s="1086">
        <v>0</v>
      </c>
      <c r="Q417" s="1086">
        <v>0</v>
      </c>
      <c r="R417" s="1086">
        <v>0</v>
      </c>
      <c r="S417" s="1086">
        <v>0</v>
      </c>
      <c r="T417" s="1086">
        <v>0</v>
      </c>
      <c r="U417" s="1086">
        <v>0</v>
      </c>
      <c r="V417" s="1086">
        <v>0</v>
      </c>
      <c r="W417" s="1086">
        <v>0</v>
      </c>
      <c r="X417" s="1086">
        <v>0</v>
      </c>
      <c r="Y417" s="1086">
        <v>0</v>
      </c>
      <c r="Z417" s="1086">
        <v>2563846.9700000002</v>
      </c>
      <c r="AA417" s="1086">
        <v>0</v>
      </c>
      <c r="AB417" s="1086">
        <v>0</v>
      </c>
      <c r="AC417" s="1086">
        <v>129029.09</v>
      </c>
      <c r="AD417" s="1103" t="s">
        <v>1251</v>
      </c>
      <c r="AE417" s="1086" t="s">
        <v>3880</v>
      </c>
      <c r="AF417" s="1086">
        <f t="shared" si="25"/>
        <v>129029.08999999985</v>
      </c>
      <c r="AG417" s="1086">
        <f t="shared" si="24"/>
        <v>1.4551915228366852E-10</v>
      </c>
      <c r="AQ417" s="1086">
        <v>0</v>
      </c>
      <c r="AR417" s="1086">
        <v>0</v>
      </c>
      <c r="AS417" s="1086">
        <v>128029.51</v>
      </c>
      <c r="AT417" s="1086">
        <f t="shared" si="26"/>
        <v>999.58000000000175</v>
      </c>
      <c r="AU417" s="167" t="s">
        <v>3912</v>
      </c>
      <c r="AV417" s="1150">
        <f t="shared" si="27"/>
        <v>2563846.9700000002</v>
      </c>
    </row>
    <row r="418" spans="1:48" x14ac:dyDescent="0.2">
      <c r="A418" s="19">
        <v>425</v>
      </c>
      <c r="B418" t="s">
        <v>1718</v>
      </c>
      <c r="C418" t="s">
        <v>2071</v>
      </c>
      <c r="D418" t="s">
        <v>1039</v>
      </c>
      <c r="E418" t="s">
        <v>2247</v>
      </c>
      <c r="F418" t="s">
        <v>2441</v>
      </c>
      <c r="G418" t="s">
        <v>1250</v>
      </c>
      <c r="H418" t="s">
        <v>3822</v>
      </c>
      <c r="I418">
        <v>2244</v>
      </c>
      <c r="J418" t="s">
        <v>3266</v>
      </c>
      <c r="K418">
        <v>5146</v>
      </c>
      <c r="L418" t="s">
        <v>2886</v>
      </c>
      <c r="M418" s="1086">
        <v>364849.83</v>
      </c>
      <c r="N418" s="1086">
        <v>230065.97</v>
      </c>
      <c r="O418" s="1086">
        <v>0</v>
      </c>
      <c r="P418" s="1086">
        <v>255841.72</v>
      </c>
      <c r="Q418" s="1086">
        <v>0</v>
      </c>
      <c r="R418" s="1086">
        <v>0</v>
      </c>
      <c r="S418" s="1086">
        <v>13887.2</v>
      </c>
      <c r="T418" s="1086">
        <v>81886.02</v>
      </c>
      <c r="U418" s="1086">
        <v>72346.64</v>
      </c>
      <c r="V418" s="1086">
        <v>0</v>
      </c>
      <c r="W418" s="1086">
        <v>3580.2</v>
      </c>
      <c r="X418" s="1086">
        <v>6383.73</v>
      </c>
      <c r="Y418" s="1086">
        <v>0</v>
      </c>
      <c r="Z418" s="1086">
        <v>0</v>
      </c>
      <c r="AA418" s="1086">
        <v>7863.73</v>
      </c>
      <c r="AB418" s="1086">
        <v>0</v>
      </c>
      <c r="AC418" s="1086">
        <v>153126.56</v>
      </c>
      <c r="AD418" s="1086" t="s">
        <v>248</v>
      </c>
      <c r="AE418" s="1086" t="s">
        <v>3877</v>
      </c>
      <c r="AF418" s="1086">
        <f t="shared" si="25"/>
        <v>153126.56000000006</v>
      </c>
      <c r="AG418" s="1086">
        <f t="shared" si="24"/>
        <v>0</v>
      </c>
      <c r="AQ418" s="1086">
        <v>0</v>
      </c>
      <c r="AR418" s="1086">
        <v>0</v>
      </c>
      <c r="AS418" s="1086">
        <v>153126.56</v>
      </c>
      <c r="AT418" s="1086">
        <f t="shared" si="26"/>
        <v>0</v>
      </c>
      <c r="AV418" s="1150">
        <f t="shared" si="27"/>
        <v>441789.24</v>
      </c>
    </row>
    <row r="419" spans="1:48" x14ac:dyDescent="0.2">
      <c r="A419" s="19">
        <v>426</v>
      </c>
      <c r="B419" t="s">
        <v>1719</v>
      </c>
      <c r="C419" t="s">
        <v>2071</v>
      </c>
      <c r="D419" t="s">
        <v>1050</v>
      </c>
      <c r="E419" t="s">
        <v>2115</v>
      </c>
      <c r="F419" t="s">
        <v>2312</v>
      </c>
      <c r="G419" t="s">
        <v>1250</v>
      </c>
      <c r="H419" t="s">
        <v>3822</v>
      </c>
      <c r="I419">
        <v>2244</v>
      </c>
      <c r="J419" t="s">
        <v>3272</v>
      </c>
      <c r="K419" t="s">
        <v>3607</v>
      </c>
      <c r="L419" t="s">
        <v>2887</v>
      </c>
      <c r="M419" s="1086">
        <v>130203.42</v>
      </c>
      <c r="N419" s="1086">
        <v>200334.49</v>
      </c>
      <c r="O419" s="1086">
        <v>0</v>
      </c>
      <c r="P419" s="1086">
        <v>37857.14</v>
      </c>
      <c r="Q419" s="1086">
        <v>0</v>
      </c>
      <c r="R419" s="1086">
        <v>0</v>
      </c>
      <c r="S419" s="1086">
        <v>0</v>
      </c>
      <c r="T419" s="1086">
        <v>4907.25</v>
      </c>
      <c r="U419" s="1086">
        <v>90447.01</v>
      </c>
      <c r="V419" s="1086">
        <v>40829.769999999997</v>
      </c>
      <c r="W419" s="1086">
        <v>431.45</v>
      </c>
      <c r="X419" s="1086">
        <v>99734</v>
      </c>
      <c r="Y419" s="1086">
        <v>0</v>
      </c>
      <c r="Z419" s="1086">
        <v>0</v>
      </c>
      <c r="AA419" s="1086">
        <v>6993.05</v>
      </c>
      <c r="AB419" s="1086">
        <v>0</v>
      </c>
      <c r="AC419" s="1086">
        <v>49338.239999999998</v>
      </c>
      <c r="AD419" s="1086" t="s">
        <v>248</v>
      </c>
      <c r="AE419" s="1086" t="s">
        <v>3877</v>
      </c>
      <c r="AF419" s="1086">
        <f t="shared" si="25"/>
        <v>49338.239999999991</v>
      </c>
      <c r="AG419" s="1086">
        <f t="shared" si="24"/>
        <v>0</v>
      </c>
      <c r="AQ419" s="1086">
        <v>0</v>
      </c>
      <c r="AR419" s="1086">
        <v>0</v>
      </c>
      <c r="AS419" s="1086">
        <v>49338.239999999998</v>
      </c>
      <c r="AT419" s="1086">
        <f t="shared" si="26"/>
        <v>0</v>
      </c>
      <c r="AV419" s="1150">
        <f t="shared" si="27"/>
        <v>281199.67</v>
      </c>
    </row>
    <row r="420" spans="1:48" x14ac:dyDescent="0.2">
      <c r="A420" s="19">
        <v>427</v>
      </c>
      <c r="B420" t="s">
        <v>1720</v>
      </c>
      <c r="C420" t="s">
        <v>2071</v>
      </c>
      <c r="D420" t="s">
        <v>1039</v>
      </c>
      <c r="E420" t="s">
        <v>2119</v>
      </c>
      <c r="F420" t="s">
        <v>2316</v>
      </c>
      <c r="G420" t="s">
        <v>1250</v>
      </c>
      <c r="H420" t="s">
        <v>3822</v>
      </c>
      <c r="I420">
        <v>2244</v>
      </c>
      <c r="J420" t="s">
        <v>3266</v>
      </c>
      <c r="K420">
        <v>5165</v>
      </c>
      <c r="L420" t="s">
        <v>2888</v>
      </c>
      <c r="M420" s="1086">
        <v>164477.70000000001</v>
      </c>
      <c r="N420" s="1086">
        <v>496133.43</v>
      </c>
      <c r="O420" s="1086">
        <v>0</v>
      </c>
      <c r="P420" s="1086">
        <v>191371.22</v>
      </c>
      <c r="Q420" s="1086">
        <v>73000</v>
      </c>
      <c r="R420" s="1086">
        <v>0</v>
      </c>
      <c r="S420" s="1086">
        <v>12592.8</v>
      </c>
      <c r="T420" s="1086">
        <v>105629.51</v>
      </c>
      <c r="U420" s="1086">
        <v>86757.59</v>
      </c>
      <c r="V420" s="1086">
        <v>0</v>
      </c>
      <c r="W420" s="1086">
        <v>3927.18</v>
      </c>
      <c r="X420" s="1086">
        <v>40902.93</v>
      </c>
      <c r="Y420" s="1086">
        <v>0</v>
      </c>
      <c r="Z420" s="1086">
        <v>0</v>
      </c>
      <c r="AA420" s="1086">
        <v>17102.240000000002</v>
      </c>
      <c r="AB420" s="1086">
        <v>0</v>
      </c>
      <c r="AC420" s="1086">
        <v>129327.66</v>
      </c>
      <c r="AD420" s="1086" t="s">
        <v>248</v>
      </c>
      <c r="AE420" s="1086" t="s">
        <v>3877</v>
      </c>
      <c r="AF420" s="1086">
        <f t="shared" si="25"/>
        <v>129327.66000000003</v>
      </c>
      <c r="AG420" s="1086">
        <f t="shared" si="24"/>
        <v>0</v>
      </c>
      <c r="AQ420" s="1086">
        <v>0</v>
      </c>
      <c r="AR420" s="1086">
        <v>0</v>
      </c>
      <c r="AS420" s="1086">
        <v>129327.66</v>
      </c>
      <c r="AT420" s="1086">
        <f t="shared" si="26"/>
        <v>0</v>
      </c>
      <c r="AV420" s="1150">
        <f t="shared" si="27"/>
        <v>531283.47</v>
      </c>
    </row>
    <row r="421" spans="1:48" x14ac:dyDescent="0.2">
      <c r="A421" s="19">
        <v>428</v>
      </c>
      <c r="B421" t="s">
        <v>1721</v>
      </c>
      <c r="C421" t="s">
        <v>2071</v>
      </c>
      <c r="D421" t="s">
        <v>1059</v>
      </c>
      <c r="E421" t="s">
        <v>2124</v>
      </c>
      <c r="F421" t="s">
        <v>2321</v>
      </c>
      <c r="G421" t="s">
        <v>1250</v>
      </c>
      <c r="H421" t="s">
        <v>3822</v>
      </c>
      <c r="I421">
        <v>2244</v>
      </c>
      <c r="J421" t="s">
        <v>3257</v>
      </c>
      <c r="K421" t="s">
        <v>3608</v>
      </c>
      <c r="L421" t="s">
        <v>2889</v>
      </c>
      <c r="M421" s="1086">
        <v>172642.34</v>
      </c>
      <c r="N421" s="1086">
        <v>98244.25</v>
      </c>
      <c r="O421" s="1086">
        <v>0</v>
      </c>
      <c r="P421" s="1086">
        <v>91120.34</v>
      </c>
      <c r="Q421" s="1086">
        <v>0</v>
      </c>
      <c r="R421" s="1086">
        <v>0</v>
      </c>
      <c r="S421" s="1086">
        <v>0</v>
      </c>
      <c r="T421" s="1086">
        <v>8799.41</v>
      </c>
      <c r="U421" s="1086">
        <v>22644.13</v>
      </c>
      <c r="V421" s="1086">
        <v>0</v>
      </c>
      <c r="W421" s="1086">
        <v>59.99</v>
      </c>
      <c r="X421" s="1086">
        <v>1081.27</v>
      </c>
      <c r="Y421" s="1086">
        <v>0</v>
      </c>
      <c r="Z421" s="1086">
        <v>0</v>
      </c>
      <c r="AA421" s="1086">
        <v>3285.59</v>
      </c>
      <c r="AB421" s="1086">
        <v>0</v>
      </c>
      <c r="AC421" s="1086">
        <v>143895.85999999999</v>
      </c>
      <c r="AD421" s="1086" t="s">
        <v>248</v>
      </c>
      <c r="AE421" s="1086" t="s">
        <v>3877</v>
      </c>
      <c r="AF421" s="1086">
        <f t="shared" si="25"/>
        <v>143895.85999999996</v>
      </c>
      <c r="AG421" s="1086">
        <f t="shared" si="24"/>
        <v>0</v>
      </c>
      <c r="AQ421" s="1086">
        <v>0</v>
      </c>
      <c r="AR421" s="1086">
        <v>0</v>
      </c>
      <c r="AS421" s="1086">
        <v>143895.85999999999</v>
      </c>
      <c r="AT421" s="1086">
        <f t="shared" si="26"/>
        <v>0</v>
      </c>
      <c r="AV421" s="1150">
        <f t="shared" si="27"/>
        <v>126990.73000000001</v>
      </c>
    </row>
    <row r="422" spans="1:48" x14ac:dyDescent="0.2">
      <c r="A422" s="19">
        <v>429</v>
      </c>
      <c r="B422" t="s">
        <v>1722</v>
      </c>
      <c r="C422" t="s">
        <v>2071</v>
      </c>
      <c r="D422" t="s">
        <v>1028</v>
      </c>
      <c r="E422" t="s">
        <v>2128</v>
      </c>
      <c r="F422" t="s">
        <v>2325</v>
      </c>
      <c r="G422" t="s">
        <v>1250</v>
      </c>
      <c r="H422" t="s">
        <v>3822</v>
      </c>
      <c r="I422">
        <v>2244</v>
      </c>
      <c r="J422" t="s">
        <v>3255</v>
      </c>
      <c r="K422">
        <v>5578</v>
      </c>
      <c r="L422" t="s">
        <v>2890</v>
      </c>
      <c r="M422" s="1086">
        <v>240832.47</v>
      </c>
      <c r="N422" s="1086">
        <v>983636.04</v>
      </c>
      <c r="O422" s="1086">
        <v>29872.61</v>
      </c>
      <c r="P422" s="1086">
        <v>527094.30000000005</v>
      </c>
      <c r="Q422" s="1086">
        <v>10000</v>
      </c>
      <c r="R422" s="1086">
        <v>31984.240000000002</v>
      </c>
      <c r="S422" s="1086">
        <v>600</v>
      </c>
      <c r="T422" s="1086">
        <v>134234.59</v>
      </c>
      <c r="U422" s="1086">
        <v>100093.72</v>
      </c>
      <c r="V422" s="1086">
        <v>0</v>
      </c>
      <c r="W422" s="1086">
        <v>0</v>
      </c>
      <c r="X422" s="1086">
        <v>5009.45</v>
      </c>
      <c r="Y422" s="1086">
        <v>0</v>
      </c>
      <c r="Z422" s="1086">
        <v>1230</v>
      </c>
      <c r="AA422" s="1086">
        <v>33954.519999999997</v>
      </c>
      <c r="AB422" s="1086">
        <v>0</v>
      </c>
      <c r="AC422" s="1086">
        <v>410140.3</v>
      </c>
      <c r="AD422" s="1086" t="s">
        <v>248</v>
      </c>
      <c r="AE422" s="1086" t="s">
        <v>3877</v>
      </c>
      <c r="AF422" s="1086">
        <f t="shared" si="25"/>
        <v>410140.30000000016</v>
      </c>
      <c r="AG422" s="1086">
        <f t="shared" si="24"/>
        <v>0</v>
      </c>
      <c r="AQ422" s="1086">
        <v>0</v>
      </c>
      <c r="AR422" s="1086">
        <v>0</v>
      </c>
      <c r="AS422" s="1086">
        <v>410140.3</v>
      </c>
      <c r="AT422" s="1086">
        <f t="shared" si="26"/>
        <v>0</v>
      </c>
      <c r="AV422" s="1150">
        <f t="shared" si="27"/>
        <v>844200.82</v>
      </c>
    </row>
    <row r="423" spans="1:48" x14ac:dyDescent="0.2">
      <c r="A423" s="19">
        <v>430</v>
      </c>
      <c r="B423" t="s">
        <v>1723</v>
      </c>
      <c r="C423" t="s">
        <v>2071</v>
      </c>
      <c r="D423" t="s">
        <v>1050</v>
      </c>
      <c r="E423" t="s">
        <v>2145</v>
      </c>
      <c r="F423" t="s">
        <v>2342</v>
      </c>
      <c r="G423" t="s">
        <v>1250</v>
      </c>
      <c r="H423" t="s">
        <v>3822</v>
      </c>
      <c r="I423">
        <v>2244</v>
      </c>
      <c r="J423" t="s">
        <v>3272</v>
      </c>
      <c r="K423" t="s">
        <v>3609</v>
      </c>
      <c r="L423" t="s">
        <v>2891</v>
      </c>
      <c r="M423" s="1086">
        <v>25470.46</v>
      </c>
      <c r="N423" s="1086">
        <v>213593.00999999998</v>
      </c>
      <c r="O423" s="1086">
        <v>0</v>
      </c>
      <c r="P423" s="1086">
        <v>74770.399999999994</v>
      </c>
      <c r="Q423" s="1086">
        <v>5625</v>
      </c>
      <c r="R423" s="1086">
        <v>43310.91</v>
      </c>
      <c r="S423" s="1086">
        <v>0</v>
      </c>
      <c r="T423" s="1086">
        <v>33947.589999999997</v>
      </c>
      <c r="U423" s="1086">
        <v>63615.49</v>
      </c>
      <c r="V423" s="1086">
        <v>135.69999999999999</v>
      </c>
      <c r="W423" s="1086">
        <v>289.5</v>
      </c>
      <c r="X423" s="1086">
        <v>6540.13</v>
      </c>
      <c r="Y423" s="1086">
        <v>0</v>
      </c>
      <c r="Z423" s="1086">
        <v>0</v>
      </c>
      <c r="AA423" s="1086">
        <v>7420.47</v>
      </c>
      <c r="AB423" s="1086">
        <v>0</v>
      </c>
      <c r="AC423" s="1086">
        <v>3408.28</v>
      </c>
      <c r="AD423" s="1086" t="s">
        <v>248</v>
      </c>
      <c r="AE423" s="1086" t="s">
        <v>3877</v>
      </c>
      <c r="AF423" s="1086">
        <f t="shared" si="25"/>
        <v>3408.2799999999697</v>
      </c>
      <c r="AG423" s="1086">
        <f t="shared" si="24"/>
        <v>3.0468072509393096E-11</v>
      </c>
      <c r="AQ423" s="1086">
        <v>0</v>
      </c>
      <c r="AR423" s="1086">
        <v>0</v>
      </c>
      <c r="AS423" s="1086">
        <v>3408.28</v>
      </c>
      <c r="AT423" s="1086">
        <f t="shared" si="26"/>
        <v>0</v>
      </c>
      <c r="AV423" s="1150">
        <f t="shared" si="27"/>
        <v>235655.19</v>
      </c>
    </row>
    <row r="424" spans="1:48" x14ac:dyDescent="0.2">
      <c r="A424" s="19">
        <v>431</v>
      </c>
      <c r="B424" t="s">
        <v>1724</v>
      </c>
      <c r="C424" t="s">
        <v>2071</v>
      </c>
      <c r="D424" t="s">
        <v>1041</v>
      </c>
      <c r="E424" t="s">
        <v>2248</v>
      </c>
      <c r="F424" t="s">
        <v>2442</v>
      </c>
      <c r="G424" t="s">
        <v>1250</v>
      </c>
      <c r="H424" t="s">
        <v>3822</v>
      </c>
      <c r="I424" t="s">
        <v>3843</v>
      </c>
      <c r="J424" t="s">
        <v>3255</v>
      </c>
      <c r="K424" t="s">
        <v>3610</v>
      </c>
      <c r="L424" t="s">
        <v>2892</v>
      </c>
      <c r="M424" s="1086">
        <v>149243.34</v>
      </c>
      <c r="N424" s="1086">
        <v>126000.1</v>
      </c>
      <c r="O424" s="1086">
        <v>0</v>
      </c>
      <c r="P424" s="1086">
        <v>87091.55</v>
      </c>
      <c r="Q424" s="1086">
        <v>0</v>
      </c>
      <c r="R424" s="1086">
        <v>0</v>
      </c>
      <c r="S424" s="1086">
        <v>0</v>
      </c>
      <c r="T424" s="1086">
        <v>21516.799999999999</v>
      </c>
      <c r="U424" s="1086">
        <v>38148.870000000003</v>
      </c>
      <c r="V424" s="1086">
        <v>0</v>
      </c>
      <c r="W424" s="1086">
        <v>4201.28</v>
      </c>
      <c r="X424" s="1086">
        <v>700.2</v>
      </c>
      <c r="Y424" s="1086">
        <v>0</v>
      </c>
      <c r="Z424" s="1086">
        <v>0</v>
      </c>
      <c r="AA424" s="1086">
        <v>4209.32</v>
      </c>
      <c r="AB424" s="1086">
        <v>0</v>
      </c>
      <c r="AC424" s="1086">
        <v>119375.42</v>
      </c>
      <c r="AD424" s="1086" t="s">
        <v>248</v>
      </c>
      <c r="AE424" s="1086" t="s">
        <v>3877</v>
      </c>
      <c r="AF424" s="1086">
        <f t="shared" si="25"/>
        <v>119375.41999999998</v>
      </c>
      <c r="AG424" s="1086">
        <f t="shared" si="24"/>
        <v>0</v>
      </c>
      <c r="AQ424" s="1086">
        <v>0</v>
      </c>
      <c r="AR424" s="1086">
        <v>0</v>
      </c>
      <c r="AS424" s="1086">
        <v>119375.42</v>
      </c>
      <c r="AT424" s="1086">
        <f t="shared" si="26"/>
        <v>0</v>
      </c>
      <c r="AV424" s="1150">
        <f t="shared" si="27"/>
        <v>155868.02000000002</v>
      </c>
    </row>
    <row r="425" spans="1:48" x14ac:dyDescent="0.2">
      <c r="A425" s="19">
        <v>432</v>
      </c>
      <c r="B425" t="s">
        <v>1725</v>
      </c>
      <c r="C425" t="s">
        <v>2071</v>
      </c>
      <c r="D425" t="s">
        <v>1058</v>
      </c>
      <c r="E425" t="s">
        <v>2249</v>
      </c>
      <c r="F425" t="s">
        <v>2443</v>
      </c>
      <c r="G425" t="s">
        <v>1250</v>
      </c>
      <c r="H425" t="s">
        <v>3822</v>
      </c>
      <c r="I425" t="s">
        <v>3843</v>
      </c>
      <c r="J425" t="s">
        <v>3313</v>
      </c>
      <c r="K425" t="s">
        <v>3611</v>
      </c>
      <c r="L425" t="s">
        <v>2893</v>
      </c>
      <c r="M425" s="1086">
        <v>122805.57</v>
      </c>
      <c r="N425" s="1086">
        <v>134041</v>
      </c>
      <c r="O425" s="1086">
        <v>0</v>
      </c>
      <c r="P425" s="1086">
        <v>92607.679999999993</v>
      </c>
      <c r="Q425" s="1086">
        <v>0</v>
      </c>
      <c r="R425" s="1086">
        <v>0</v>
      </c>
      <c r="S425" s="1086">
        <v>0</v>
      </c>
      <c r="T425" s="1086">
        <v>3571.83</v>
      </c>
      <c r="U425" s="1086">
        <v>9352.31</v>
      </c>
      <c r="V425" s="1086">
        <v>0</v>
      </c>
      <c r="W425" s="1086">
        <v>0</v>
      </c>
      <c r="X425" s="1086">
        <v>6034.94</v>
      </c>
      <c r="Y425" s="1086">
        <v>0</v>
      </c>
      <c r="Z425" s="1086">
        <v>0</v>
      </c>
      <c r="AA425" s="1086">
        <v>4349.99</v>
      </c>
      <c r="AB425" s="1086">
        <v>0</v>
      </c>
      <c r="AC425" s="1086">
        <v>140929.82</v>
      </c>
      <c r="AD425" s="1086" t="s">
        <v>248</v>
      </c>
      <c r="AE425" s="1086" t="s">
        <v>3877</v>
      </c>
      <c r="AF425" s="1086">
        <f t="shared" si="25"/>
        <v>140929.82</v>
      </c>
      <c r="AG425" s="1086">
        <f t="shared" si="24"/>
        <v>0</v>
      </c>
      <c r="AQ425" s="1086">
        <v>0</v>
      </c>
      <c r="AR425" s="1086">
        <v>0</v>
      </c>
      <c r="AS425" s="1086">
        <v>140929.82</v>
      </c>
      <c r="AT425" s="1086">
        <f t="shared" si="26"/>
        <v>0</v>
      </c>
      <c r="AV425" s="1150">
        <f t="shared" si="27"/>
        <v>115916.75</v>
      </c>
    </row>
    <row r="426" spans="1:48" x14ac:dyDescent="0.2">
      <c r="A426" s="19">
        <v>433</v>
      </c>
      <c r="B426" t="s">
        <v>1726</v>
      </c>
      <c r="C426" t="s">
        <v>2071</v>
      </c>
      <c r="D426" t="s">
        <v>1045</v>
      </c>
      <c r="E426" t="s">
        <v>2176</v>
      </c>
      <c r="F426" t="s">
        <v>2372</v>
      </c>
      <c r="G426" t="s">
        <v>1250</v>
      </c>
      <c r="H426" t="s">
        <v>3822</v>
      </c>
      <c r="I426">
        <v>2244</v>
      </c>
      <c r="J426" t="s">
        <v>3255</v>
      </c>
      <c r="K426">
        <v>5577</v>
      </c>
      <c r="L426" t="s">
        <v>2894</v>
      </c>
      <c r="M426" s="1086">
        <v>239511.8</v>
      </c>
      <c r="N426" s="1086">
        <v>1571406.95</v>
      </c>
      <c r="O426" s="1086">
        <v>0</v>
      </c>
      <c r="P426" s="1086">
        <v>793119.65</v>
      </c>
      <c r="Q426" s="1086">
        <v>0</v>
      </c>
      <c r="R426" s="1086">
        <v>47634.19</v>
      </c>
      <c r="S426" s="1086">
        <v>0</v>
      </c>
      <c r="T426" s="1086">
        <v>255351.89</v>
      </c>
      <c r="U426" s="1086">
        <v>285218.07</v>
      </c>
      <c r="V426" s="1086">
        <v>41.3</v>
      </c>
      <c r="W426" s="1086">
        <v>0</v>
      </c>
      <c r="X426" s="1086">
        <v>13470.46</v>
      </c>
      <c r="Y426" s="1086">
        <v>0</v>
      </c>
      <c r="Z426" s="1086">
        <v>1340</v>
      </c>
      <c r="AA426" s="1086">
        <v>108031.91</v>
      </c>
      <c r="AB426" s="1086">
        <v>0</v>
      </c>
      <c r="AC426" s="1086">
        <v>306711.28000000003</v>
      </c>
      <c r="AD426" s="1086" t="s">
        <v>248</v>
      </c>
      <c r="AE426" s="1086" t="s">
        <v>3877</v>
      </c>
      <c r="AF426" s="1086">
        <f t="shared" si="25"/>
        <v>306711.28000000003</v>
      </c>
      <c r="AG426" s="1086">
        <f t="shared" si="24"/>
        <v>0</v>
      </c>
      <c r="AQ426" s="1086">
        <v>0</v>
      </c>
      <c r="AR426" s="1086">
        <v>0</v>
      </c>
      <c r="AS426" s="1086">
        <v>306711.28000000003</v>
      </c>
      <c r="AT426" s="1086">
        <f t="shared" si="26"/>
        <v>0</v>
      </c>
      <c r="AV426" s="1150">
        <f t="shared" si="27"/>
        <v>1504207.47</v>
      </c>
    </row>
    <row r="427" spans="1:48" x14ac:dyDescent="0.2">
      <c r="A427" s="19">
        <v>434</v>
      </c>
      <c r="B427" t="s">
        <v>1727</v>
      </c>
      <c r="C427" t="s">
        <v>2071</v>
      </c>
      <c r="D427" t="s">
        <v>1059</v>
      </c>
      <c r="E427" t="s">
        <v>2192</v>
      </c>
      <c r="F427" t="s">
        <v>2387</v>
      </c>
      <c r="G427" t="s">
        <v>3832</v>
      </c>
      <c r="H427" t="s">
        <v>3822</v>
      </c>
      <c r="I427" t="s">
        <v>3251</v>
      </c>
      <c r="J427" t="s">
        <v>3251</v>
      </c>
      <c r="K427" t="s">
        <v>3251</v>
      </c>
      <c r="L427" t="s">
        <v>2895</v>
      </c>
      <c r="M427" s="1086">
        <v>0</v>
      </c>
      <c r="N427" s="1086">
        <v>53446.33</v>
      </c>
      <c r="O427" s="1086">
        <v>0</v>
      </c>
      <c r="P427" s="1086">
        <v>0</v>
      </c>
      <c r="Q427" s="1086">
        <v>0</v>
      </c>
      <c r="R427" s="1086">
        <v>0</v>
      </c>
      <c r="S427" s="1086">
        <v>0</v>
      </c>
      <c r="T427" s="1086">
        <v>0</v>
      </c>
      <c r="U427" s="1086">
        <v>12411.93</v>
      </c>
      <c r="V427" s="1086">
        <v>0</v>
      </c>
      <c r="W427" s="1086">
        <v>0</v>
      </c>
      <c r="X427" s="1086">
        <v>0</v>
      </c>
      <c r="Y427" s="1086">
        <v>0</v>
      </c>
      <c r="Z427" s="1086">
        <v>0</v>
      </c>
      <c r="AA427" s="1086">
        <v>1870.62</v>
      </c>
      <c r="AB427" s="1086">
        <v>0</v>
      </c>
      <c r="AC427" s="1086">
        <v>39163.78</v>
      </c>
      <c r="AD427" s="1103" t="s">
        <v>1253</v>
      </c>
      <c r="AE427" s="1086" t="s">
        <v>3881</v>
      </c>
      <c r="AF427" s="1086">
        <f t="shared" si="25"/>
        <v>39163.78</v>
      </c>
      <c r="AG427" s="1086">
        <f t="shared" si="24"/>
        <v>0</v>
      </c>
      <c r="AQ427" s="1086">
        <v>0</v>
      </c>
      <c r="AR427" s="1086">
        <v>0</v>
      </c>
      <c r="AS427" s="1086">
        <v>39163.78</v>
      </c>
      <c r="AT427" s="1086">
        <f t="shared" si="26"/>
        <v>0</v>
      </c>
      <c r="AV427" s="1150">
        <f t="shared" si="27"/>
        <v>14282.55</v>
      </c>
    </row>
    <row r="428" spans="1:48" x14ac:dyDescent="0.2">
      <c r="A428" s="19">
        <v>436</v>
      </c>
      <c r="B428" t="s">
        <v>1728</v>
      </c>
      <c r="C428" t="s">
        <v>2071</v>
      </c>
      <c r="D428" s="167" t="s">
        <v>1059</v>
      </c>
      <c r="E428" t="s">
        <v>2214</v>
      </c>
      <c r="F428" t="s">
        <v>2409</v>
      </c>
      <c r="G428" t="s">
        <v>3832</v>
      </c>
      <c r="H428" t="s">
        <v>3822</v>
      </c>
      <c r="I428">
        <v>0</v>
      </c>
      <c r="L428" t="s">
        <v>2896</v>
      </c>
      <c r="M428" s="1086">
        <v>140119.1</v>
      </c>
      <c r="N428" s="1086">
        <v>240149.77</v>
      </c>
      <c r="O428" s="1086">
        <v>0</v>
      </c>
      <c r="P428" s="1086">
        <v>76173.5</v>
      </c>
      <c r="Q428" s="1086">
        <v>40500</v>
      </c>
      <c r="R428" s="1086">
        <v>0</v>
      </c>
      <c r="S428" s="1086">
        <v>31755.63</v>
      </c>
      <c r="T428" s="1086">
        <v>23505.97</v>
      </c>
      <c r="U428" s="1086">
        <v>470.65</v>
      </c>
      <c r="V428" s="1086">
        <v>0</v>
      </c>
      <c r="W428" s="1086">
        <v>0</v>
      </c>
      <c r="X428" s="1086">
        <v>0</v>
      </c>
      <c r="Y428" s="1086">
        <v>0</v>
      </c>
      <c r="Z428" s="1086">
        <v>0</v>
      </c>
      <c r="AA428" s="1086">
        <v>6629.38</v>
      </c>
      <c r="AB428" s="1086">
        <v>0</v>
      </c>
      <c r="AC428" s="1086">
        <v>201233.74</v>
      </c>
      <c r="AD428" s="1103" t="s">
        <v>1253</v>
      </c>
      <c r="AE428" s="1086" t="s">
        <v>3881</v>
      </c>
      <c r="AF428" s="1086">
        <f t="shared" si="25"/>
        <v>201233.74</v>
      </c>
      <c r="AG428" s="1086">
        <f t="shared" si="24"/>
        <v>0</v>
      </c>
      <c r="AQ428" s="1086">
        <v>0</v>
      </c>
      <c r="AR428" s="1086">
        <v>0</v>
      </c>
      <c r="AS428" s="1086">
        <v>201233.74</v>
      </c>
      <c r="AT428" s="1086">
        <f t="shared" si="26"/>
        <v>0</v>
      </c>
      <c r="AV428" s="1150">
        <f t="shared" si="27"/>
        <v>179035.13</v>
      </c>
    </row>
    <row r="429" spans="1:48" x14ac:dyDescent="0.2">
      <c r="A429" s="19">
        <v>437</v>
      </c>
      <c r="B429" t="s">
        <v>1729</v>
      </c>
      <c r="C429" t="s">
        <v>2071</v>
      </c>
      <c r="D429" t="s">
        <v>1044</v>
      </c>
      <c r="E429" t="s">
        <v>2214</v>
      </c>
      <c r="F429" t="s">
        <v>2409</v>
      </c>
      <c r="G429" t="s">
        <v>3832</v>
      </c>
      <c r="H429" t="s">
        <v>3822</v>
      </c>
      <c r="I429">
        <v>2244</v>
      </c>
      <c r="J429" t="s">
        <v>3257</v>
      </c>
      <c r="K429" t="s">
        <v>3612</v>
      </c>
      <c r="L429" t="s">
        <v>2897</v>
      </c>
      <c r="M429" s="1086">
        <v>0</v>
      </c>
      <c r="N429" s="1086">
        <v>0</v>
      </c>
      <c r="O429" s="1086">
        <v>0</v>
      </c>
      <c r="P429" s="1086">
        <v>0</v>
      </c>
      <c r="Q429" s="1086">
        <v>0</v>
      </c>
      <c r="R429" s="1086">
        <v>0</v>
      </c>
      <c r="S429" s="1086">
        <v>0</v>
      </c>
      <c r="T429" s="1086">
        <v>0</v>
      </c>
      <c r="U429" s="1086">
        <v>0</v>
      </c>
      <c r="V429" s="1086">
        <v>0</v>
      </c>
      <c r="W429" s="1086">
        <v>0</v>
      </c>
      <c r="X429" s="1086">
        <v>0</v>
      </c>
      <c r="Y429" s="1086">
        <v>0</v>
      </c>
      <c r="Z429" s="1086">
        <v>0</v>
      </c>
      <c r="AA429" s="1086">
        <v>0</v>
      </c>
      <c r="AB429" s="1086">
        <v>0</v>
      </c>
      <c r="AC429" s="1086">
        <v>0</v>
      </c>
      <c r="AD429" s="1103" t="s">
        <v>1253</v>
      </c>
      <c r="AE429" s="1086" t="s">
        <v>3877</v>
      </c>
      <c r="AF429" s="1086">
        <f t="shared" si="25"/>
        <v>0</v>
      </c>
      <c r="AG429" s="1086">
        <f t="shared" si="24"/>
        <v>0</v>
      </c>
      <c r="AQ429" s="1086">
        <v>0</v>
      </c>
      <c r="AR429" s="1086">
        <v>0</v>
      </c>
      <c r="AS429" s="1086">
        <v>0</v>
      </c>
      <c r="AT429" s="1086">
        <f t="shared" si="26"/>
        <v>0</v>
      </c>
      <c r="AV429" s="1150">
        <f t="shared" si="27"/>
        <v>0</v>
      </c>
    </row>
    <row r="430" spans="1:48" x14ac:dyDescent="0.2">
      <c r="A430" s="19">
        <v>438</v>
      </c>
      <c r="B430" t="s">
        <v>1730</v>
      </c>
      <c r="C430" t="s">
        <v>2071</v>
      </c>
      <c r="D430" t="s">
        <v>1059</v>
      </c>
      <c r="E430" t="s">
        <v>2215</v>
      </c>
      <c r="F430" t="s">
        <v>2410</v>
      </c>
      <c r="G430" t="s">
        <v>1250</v>
      </c>
      <c r="H430" t="s">
        <v>3822</v>
      </c>
      <c r="I430">
        <v>2244</v>
      </c>
      <c r="J430" t="s">
        <v>3257</v>
      </c>
      <c r="K430" t="s">
        <v>3613</v>
      </c>
      <c r="L430" t="s">
        <v>2898</v>
      </c>
      <c r="M430" s="1086">
        <v>101049.36</v>
      </c>
      <c r="N430" s="1086">
        <v>394867.17</v>
      </c>
      <c r="O430" s="1086">
        <v>0</v>
      </c>
      <c r="P430" s="1086">
        <v>277277.7</v>
      </c>
      <c r="Q430" s="1086">
        <v>0</v>
      </c>
      <c r="R430" s="1086">
        <v>0</v>
      </c>
      <c r="S430" s="1086">
        <v>14078.7</v>
      </c>
      <c r="T430" s="1086">
        <v>70654.2</v>
      </c>
      <c r="U430" s="1086">
        <v>445.32</v>
      </c>
      <c r="V430" s="1086">
        <v>0</v>
      </c>
      <c r="W430" s="1086">
        <v>0</v>
      </c>
      <c r="X430" s="1086">
        <v>336.56</v>
      </c>
      <c r="Y430" s="1086">
        <v>0</v>
      </c>
      <c r="Z430" s="1086">
        <v>0</v>
      </c>
      <c r="AA430" s="1086">
        <v>13698.73</v>
      </c>
      <c r="AB430" s="1086">
        <v>0</v>
      </c>
      <c r="AC430" s="1086">
        <v>119425.32</v>
      </c>
      <c r="AD430" s="1086" t="s">
        <v>248</v>
      </c>
      <c r="AE430" s="1086" t="s">
        <v>3877</v>
      </c>
      <c r="AF430" s="1086">
        <f t="shared" si="25"/>
        <v>119425.31999999995</v>
      </c>
      <c r="AG430" s="1086">
        <f t="shared" si="24"/>
        <v>0</v>
      </c>
      <c r="AQ430" s="1086">
        <v>0</v>
      </c>
      <c r="AR430" s="1086">
        <v>0</v>
      </c>
      <c r="AS430" s="1086">
        <v>119425.32</v>
      </c>
      <c r="AT430" s="1086">
        <f t="shared" si="26"/>
        <v>0</v>
      </c>
      <c r="AV430" s="1150">
        <f t="shared" si="27"/>
        <v>376491.21</v>
      </c>
    </row>
    <row r="431" spans="1:48" x14ac:dyDescent="0.2">
      <c r="A431" s="19">
        <v>439</v>
      </c>
      <c r="B431" t="s">
        <v>1731</v>
      </c>
      <c r="C431" t="s">
        <v>2071</v>
      </c>
      <c r="D431" t="s">
        <v>1026</v>
      </c>
      <c r="E431" t="s">
        <v>2217</v>
      </c>
      <c r="F431" t="s">
        <v>2412</v>
      </c>
      <c r="G431" t="s">
        <v>1250</v>
      </c>
      <c r="H431" t="s">
        <v>3822</v>
      </c>
      <c r="I431">
        <v>2244</v>
      </c>
      <c r="J431" t="s">
        <v>3357</v>
      </c>
      <c r="K431">
        <v>4960</v>
      </c>
      <c r="L431" t="s">
        <v>2899</v>
      </c>
      <c r="M431" s="1086">
        <v>110646.95</v>
      </c>
      <c r="N431" s="1086">
        <v>396121.28</v>
      </c>
      <c r="O431" s="1086">
        <v>0</v>
      </c>
      <c r="P431" s="1086">
        <v>75414.990000000005</v>
      </c>
      <c r="Q431" s="1086">
        <v>0</v>
      </c>
      <c r="R431" s="1086">
        <v>0</v>
      </c>
      <c r="S431" s="1086">
        <v>60919.69</v>
      </c>
      <c r="T431" s="1086">
        <v>26344.42</v>
      </c>
      <c r="U431" s="1086">
        <v>29863.360000000001</v>
      </c>
      <c r="V431" s="1086">
        <v>24000.83</v>
      </c>
      <c r="W431" s="1086">
        <v>231.85</v>
      </c>
      <c r="X431" s="1086">
        <v>12989.22</v>
      </c>
      <c r="Y431" s="1086">
        <v>0</v>
      </c>
      <c r="Z431" s="1086">
        <v>0</v>
      </c>
      <c r="AA431" s="1086">
        <v>13685.79</v>
      </c>
      <c r="AB431" s="1086">
        <v>0</v>
      </c>
      <c r="AC431" s="1086">
        <v>263318.08</v>
      </c>
      <c r="AD431" s="1086" t="s">
        <v>248</v>
      </c>
      <c r="AE431" s="1086" t="s">
        <v>3877</v>
      </c>
      <c r="AF431" s="1086">
        <f t="shared" si="25"/>
        <v>263318.08000000007</v>
      </c>
      <c r="AG431" s="1086">
        <f t="shared" si="24"/>
        <v>0</v>
      </c>
      <c r="AQ431" s="1086">
        <v>0</v>
      </c>
      <c r="AR431" s="1086">
        <v>0</v>
      </c>
      <c r="AS431" s="1086">
        <v>263318.08</v>
      </c>
      <c r="AT431" s="1086">
        <f t="shared" si="26"/>
        <v>0</v>
      </c>
      <c r="AV431" s="1150">
        <f t="shared" si="27"/>
        <v>243450.15</v>
      </c>
    </row>
    <row r="432" spans="1:48" x14ac:dyDescent="0.2">
      <c r="A432" s="19">
        <v>440</v>
      </c>
      <c r="B432" t="s">
        <v>1732</v>
      </c>
      <c r="C432" t="s">
        <v>2072</v>
      </c>
      <c r="D432" t="s">
        <v>1039</v>
      </c>
      <c r="E432" t="s">
        <v>2247</v>
      </c>
      <c r="F432" t="s">
        <v>2441</v>
      </c>
      <c r="G432" t="s">
        <v>1250</v>
      </c>
      <c r="H432" t="s">
        <v>3822</v>
      </c>
      <c r="I432">
        <v>2248</v>
      </c>
      <c r="J432" t="s">
        <v>3266</v>
      </c>
      <c r="K432">
        <v>5147</v>
      </c>
      <c r="L432" t="s">
        <v>2900</v>
      </c>
      <c r="M432" s="1086">
        <v>44590.04</v>
      </c>
      <c r="N432" s="1086">
        <v>90284.59</v>
      </c>
      <c r="O432" s="1086">
        <v>0</v>
      </c>
      <c r="P432" s="1086">
        <v>0</v>
      </c>
      <c r="Q432" s="1086">
        <v>0</v>
      </c>
      <c r="R432" s="1086">
        <v>0</v>
      </c>
      <c r="S432" s="1086">
        <v>13384.75</v>
      </c>
      <c r="T432" s="1086">
        <v>4867.26</v>
      </c>
      <c r="U432" s="1086">
        <v>108803.29</v>
      </c>
      <c r="V432" s="1086">
        <v>0</v>
      </c>
      <c r="W432" s="1086">
        <v>0</v>
      </c>
      <c r="X432" s="1086">
        <v>0</v>
      </c>
      <c r="Y432" s="1086">
        <v>0</v>
      </c>
      <c r="Z432" s="1086">
        <v>0</v>
      </c>
      <c r="AA432" s="1086">
        <v>0</v>
      </c>
      <c r="AB432" s="1086">
        <v>0</v>
      </c>
      <c r="AC432" s="1086">
        <v>7819.33</v>
      </c>
      <c r="AD432" s="1086" t="s">
        <v>248</v>
      </c>
      <c r="AE432" s="1086" t="s">
        <v>3877</v>
      </c>
      <c r="AF432" s="1086">
        <f t="shared" si="25"/>
        <v>7819.3300000000163</v>
      </c>
      <c r="AG432" s="1086">
        <f t="shared" si="24"/>
        <v>-1.6370904631912708E-11</v>
      </c>
      <c r="AQ432" s="1086">
        <v>0</v>
      </c>
      <c r="AR432" s="1086">
        <v>0</v>
      </c>
      <c r="AS432" s="1086">
        <v>7819.33</v>
      </c>
      <c r="AT432" s="1086">
        <f t="shared" si="26"/>
        <v>0</v>
      </c>
      <c r="AV432" s="1150">
        <f t="shared" si="27"/>
        <v>127055.29999999999</v>
      </c>
    </row>
    <row r="433" spans="1:48" x14ac:dyDescent="0.2">
      <c r="A433" s="19">
        <v>441</v>
      </c>
      <c r="B433" t="s">
        <v>1733</v>
      </c>
      <c r="C433" t="s">
        <v>2072</v>
      </c>
      <c r="D433" t="s">
        <v>1039</v>
      </c>
      <c r="E433" t="s">
        <v>2247</v>
      </c>
      <c r="F433" t="s">
        <v>2441</v>
      </c>
      <c r="G433" t="s">
        <v>1250</v>
      </c>
      <c r="H433" t="s">
        <v>3822</v>
      </c>
      <c r="I433">
        <v>2248</v>
      </c>
      <c r="J433" t="s">
        <v>3266</v>
      </c>
      <c r="K433">
        <v>5166</v>
      </c>
      <c r="L433" t="s">
        <v>2901</v>
      </c>
      <c r="M433" s="1086">
        <v>725.37</v>
      </c>
      <c r="N433" s="1086">
        <v>45249.94</v>
      </c>
      <c r="O433" s="1086">
        <v>0</v>
      </c>
      <c r="P433" s="1086">
        <v>0</v>
      </c>
      <c r="Q433" s="1086">
        <v>0</v>
      </c>
      <c r="R433" s="1086">
        <v>0</v>
      </c>
      <c r="S433" s="1086">
        <v>2437</v>
      </c>
      <c r="T433" s="1086">
        <v>81.540000000000006</v>
      </c>
      <c r="U433" s="1086">
        <v>38901.19</v>
      </c>
      <c r="V433" s="1086">
        <v>0</v>
      </c>
      <c r="W433" s="1086">
        <v>0</v>
      </c>
      <c r="X433" s="1086">
        <v>164.54</v>
      </c>
      <c r="Y433" s="1086">
        <v>0</v>
      </c>
      <c r="Z433" s="1086">
        <v>0</v>
      </c>
      <c r="AA433" s="1086">
        <v>0</v>
      </c>
      <c r="AB433" s="1086">
        <v>0</v>
      </c>
      <c r="AC433" s="1086">
        <v>4387.5200000000004</v>
      </c>
      <c r="AD433" s="1086" t="s">
        <v>248</v>
      </c>
      <c r="AE433" s="1086" t="s">
        <v>3877</v>
      </c>
      <c r="AF433" s="1086">
        <f t="shared" si="25"/>
        <v>4387.5200000000004</v>
      </c>
      <c r="AG433" s="1086">
        <f t="shared" si="24"/>
        <v>0</v>
      </c>
      <c r="AQ433" s="1086">
        <v>3.52</v>
      </c>
      <c r="AR433" s="1086">
        <v>0</v>
      </c>
      <c r="AS433" s="1086">
        <v>4387.5200000000004</v>
      </c>
      <c r="AT433" s="1086">
        <f t="shared" si="26"/>
        <v>0</v>
      </c>
      <c r="AV433" s="1150">
        <f t="shared" si="27"/>
        <v>41587.79</v>
      </c>
    </row>
    <row r="434" spans="1:48" x14ac:dyDescent="0.2">
      <c r="A434" s="19">
        <v>442</v>
      </c>
      <c r="B434" t="s">
        <v>1734</v>
      </c>
      <c r="C434" t="s">
        <v>2072</v>
      </c>
      <c r="D434" t="s">
        <v>1035</v>
      </c>
      <c r="E434" t="s">
        <v>2250</v>
      </c>
      <c r="F434" t="s">
        <v>2444</v>
      </c>
      <c r="G434" t="s">
        <v>1250</v>
      </c>
      <c r="H434" t="s">
        <v>3822</v>
      </c>
      <c r="I434">
        <v>2248</v>
      </c>
      <c r="J434" t="s">
        <v>3281</v>
      </c>
      <c r="K434">
        <v>6827</v>
      </c>
      <c r="L434" t="s">
        <v>2902</v>
      </c>
      <c r="M434" s="1086">
        <v>8032.92</v>
      </c>
      <c r="N434" s="1086">
        <v>52120.84</v>
      </c>
      <c r="O434" s="1086">
        <v>0</v>
      </c>
      <c r="P434" s="1086">
        <v>0</v>
      </c>
      <c r="Q434" s="1086">
        <v>0</v>
      </c>
      <c r="R434" s="1086">
        <v>0</v>
      </c>
      <c r="S434" s="1086">
        <v>0</v>
      </c>
      <c r="T434" s="1086">
        <v>0</v>
      </c>
      <c r="U434" s="1086">
        <v>30531.4</v>
      </c>
      <c r="V434" s="1086">
        <v>0</v>
      </c>
      <c r="W434" s="1086">
        <v>13858.25</v>
      </c>
      <c r="X434" s="1086">
        <v>3768.38</v>
      </c>
      <c r="Y434" s="1086">
        <v>0</v>
      </c>
      <c r="Z434" s="1086">
        <v>0</v>
      </c>
      <c r="AA434" s="1086">
        <v>0</v>
      </c>
      <c r="AB434" s="1086">
        <v>0</v>
      </c>
      <c r="AC434" s="1086">
        <v>11995.73</v>
      </c>
      <c r="AD434" s="1086" t="s">
        <v>248</v>
      </c>
      <c r="AE434" s="1086" t="s">
        <v>3877</v>
      </c>
      <c r="AF434" s="1086">
        <f t="shared" si="25"/>
        <v>11995.729999999996</v>
      </c>
      <c r="AG434" s="1086">
        <f t="shared" si="24"/>
        <v>0</v>
      </c>
      <c r="AQ434" s="1086">
        <v>0</v>
      </c>
      <c r="AR434" s="1086">
        <v>0</v>
      </c>
      <c r="AS434" s="1086">
        <v>11995.73</v>
      </c>
      <c r="AT434" s="1086">
        <f t="shared" si="26"/>
        <v>0</v>
      </c>
      <c r="AV434" s="1150">
        <f t="shared" si="27"/>
        <v>48158.03</v>
      </c>
    </row>
    <row r="435" spans="1:48" x14ac:dyDescent="0.2">
      <c r="A435" s="19">
        <v>443</v>
      </c>
      <c r="B435" t="s">
        <v>1735</v>
      </c>
      <c r="C435" t="s">
        <v>2072</v>
      </c>
      <c r="D435" t="s">
        <v>1049</v>
      </c>
      <c r="E435" t="s">
        <v>2093</v>
      </c>
      <c r="F435" t="s">
        <v>2295</v>
      </c>
      <c r="G435" t="s">
        <v>1250</v>
      </c>
      <c r="H435" t="s">
        <v>3822</v>
      </c>
      <c r="I435">
        <v>2248</v>
      </c>
      <c r="J435" t="s">
        <v>3270</v>
      </c>
      <c r="K435" t="s">
        <v>3614</v>
      </c>
      <c r="L435" t="s">
        <v>2903</v>
      </c>
      <c r="M435" s="1086">
        <v>12514.05</v>
      </c>
      <c r="N435" s="1086">
        <v>26</v>
      </c>
      <c r="O435" s="1086">
        <v>0</v>
      </c>
      <c r="P435" s="1086">
        <v>0</v>
      </c>
      <c r="Q435" s="1086">
        <v>0</v>
      </c>
      <c r="R435" s="1086">
        <v>0</v>
      </c>
      <c r="S435" s="1086">
        <v>0</v>
      </c>
      <c r="T435" s="1086">
        <v>0</v>
      </c>
      <c r="U435" s="1086">
        <v>12540.05</v>
      </c>
      <c r="V435" s="1086">
        <v>0</v>
      </c>
      <c r="W435" s="1086">
        <v>0</v>
      </c>
      <c r="X435" s="1086">
        <v>0</v>
      </c>
      <c r="Y435" s="1086">
        <v>0</v>
      </c>
      <c r="Z435" s="1086">
        <v>0</v>
      </c>
      <c r="AA435" s="1086">
        <v>0</v>
      </c>
      <c r="AB435" s="1086">
        <v>0</v>
      </c>
      <c r="AC435" s="1086">
        <v>0</v>
      </c>
      <c r="AD435" s="1086" t="s">
        <v>248</v>
      </c>
      <c r="AE435" s="1086" t="s">
        <v>3877</v>
      </c>
      <c r="AF435" s="1086">
        <f t="shared" si="25"/>
        <v>0</v>
      </c>
      <c r="AG435" s="1086">
        <f t="shared" si="24"/>
        <v>0</v>
      </c>
      <c r="AQ435" s="1086">
        <v>0</v>
      </c>
      <c r="AR435" s="1086">
        <v>0</v>
      </c>
      <c r="AS435" s="1086">
        <v>0</v>
      </c>
      <c r="AT435" s="1086">
        <f t="shared" si="26"/>
        <v>0</v>
      </c>
      <c r="AV435" s="1150">
        <f t="shared" si="27"/>
        <v>12540.05</v>
      </c>
    </row>
    <row r="436" spans="1:48" x14ac:dyDescent="0.2">
      <c r="A436" s="19">
        <v>444</v>
      </c>
      <c r="B436" t="s">
        <v>1736</v>
      </c>
      <c r="C436" t="s">
        <v>2072</v>
      </c>
      <c r="D436" t="s">
        <v>1049</v>
      </c>
      <c r="E436" t="s">
        <v>2098</v>
      </c>
      <c r="F436" t="s">
        <v>2300</v>
      </c>
      <c r="G436" t="s">
        <v>1250</v>
      </c>
      <c r="H436" t="s">
        <v>3822</v>
      </c>
      <c r="I436">
        <v>2248</v>
      </c>
      <c r="J436" t="s">
        <v>3270</v>
      </c>
      <c r="K436" t="s">
        <v>3615</v>
      </c>
      <c r="L436" t="s">
        <v>2904</v>
      </c>
      <c r="M436" s="1086">
        <v>5274.83</v>
      </c>
      <c r="N436" s="1086">
        <v>89709.25</v>
      </c>
      <c r="O436" s="1086">
        <v>0</v>
      </c>
      <c r="P436" s="1086">
        <v>35035.879999999997</v>
      </c>
      <c r="Q436" s="1086">
        <v>0</v>
      </c>
      <c r="R436" s="1086">
        <v>0</v>
      </c>
      <c r="S436" s="1086">
        <v>30143.55</v>
      </c>
      <c r="T436" s="1086">
        <v>16968.91</v>
      </c>
      <c r="U436" s="1086">
        <v>308.56</v>
      </c>
      <c r="V436" s="1086">
        <v>0</v>
      </c>
      <c r="W436" s="1086">
        <v>0</v>
      </c>
      <c r="X436" s="1086">
        <v>0</v>
      </c>
      <c r="Y436" s="1086">
        <v>0</v>
      </c>
      <c r="Z436" s="1086">
        <v>0</v>
      </c>
      <c r="AA436" s="1086">
        <v>0</v>
      </c>
      <c r="AB436" s="1086">
        <v>0</v>
      </c>
      <c r="AC436" s="1086">
        <v>12527.18</v>
      </c>
      <c r="AD436" s="1086" t="s">
        <v>248</v>
      </c>
      <c r="AE436" s="1086" t="s">
        <v>3877</v>
      </c>
      <c r="AF436" s="1086">
        <f t="shared" si="25"/>
        <v>12527.180000000008</v>
      </c>
      <c r="AG436" s="1086">
        <f t="shared" si="24"/>
        <v>0</v>
      </c>
      <c r="AQ436" s="1086">
        <v>0</v>
      </c>
      <c r="AR436" s="1086">
        <v>0</v>
      </c>
      <c r="AS436" s="1086">
        <v>12527.18</v>
      </c>
      <c r="AT436" s="1086">
        <f t="shared" si="26"/>
        <v>0</v>
      </c>
      <c r="AV436" s="1150">
        <f t="shared" si="27"/>
        <v>82456.899999999994</v>
      </c>
    </row>
    <row r="437" spans="1:48" x14ac:dyDescent="0.2">
      <c r="A437" s="19">
        <v>445</v>
      </c>
      <c r="B437" t="s">
        <v>1737</v>
      </c>
      <c r="C437" t="s">
        <v>2072</v>
      </c>
      <c r="D437" t="s">
        <v>1038</v>
      </c>
      <c r="E437" t="s">
        <v>2116</v>
      </c>
      <c r="F437" t="s">
        <v>2313</v>
      </c>
      <c r="G437" t="s">
        <v>1250</v>
      </c>
      <c r="H437" t="s">
        <v>3822</v>
      </c>
      <c r="I437">
        <v>2248</v>
      </c>
      <c r="J437" t="s">
        <v>3321</v>
      </c>
      <c r="K437" t="s">
        <v>3616</v>
      </c>
      <c r="L437" t="s">
        <v>2905</v>
      </c>
      <c r="M437" s="1086">
        <v>48243.78</v>
      </c>
      <c r="N437" s="1086">
        <v>54213.22</v>
      </c>
      <c r="O437" s="1086">
        <v>0</v>
      </c>
      <c r="P437" s="1086">
        <v>0</v>
      </c>
      <c r="Q437" s="1086">
        <v>0</v>
      </c>
      <c r="R437" s="1086">
        <v>0</v>
      </c>
      <c r="S437" s="1086">
        <v>0</v>
      </c>
      <c r="T437" s="1086">
        <v>0</v>
      </c>
      <c r="U437" s="1086">
        <v>42272.91</v>
      </c>
      <c r="V437" s="1086">
        <v>0</v>
      </c>
      <c r="W437" s="1086">
        <v>0</v>
      </c>
      <c r="X437" s="1086">
        <v>2678.43</v>
      </c>
      <c r="Y437" s="1086">
        <v>0</v>
      </c>
      <c r="Z437" s="1086">
        <v>0</v>
      </c>
      <c r="AA437" s="1086">
        <v>0</v>
      </c>
      <c r="AB437" s="1086">
        <v>0</v>
      </c>
      <c r="AC437" s="1086">
        <v>57505.66</v>
      </c>
      <c r="AD437" s="1086" t="s">
        <v>248</v>
      </c>
      <c r="AE437" s="1086" t="s">
        <v>3877</v>
      </c>
      <c r="AF437" s="1086">
        <f t="shared" si="25"/>
        <v>57505.659999999996</v>
      </c>
      <c r="AG437" s="1086">
        <f t="shared" si="24"/>
        <v>0</v>
      </c>
      <c r="AQ437" s="1086">
        <v>0</v>
      </c>
      <c r="AR437" s="1086">
        <v>0</v>
      </c>
      <c r="AS437" s="1086">
        <v>57505.66</v>
      </c>
      <c r="AT437" s="1086">
        <f t="shared" si="26"/>
        <v>0</v>
      </c>
      <c r="AV437" s="1150">
        <f t="shared" si="27"/>
        <v>44951.340000000004</v>
      </c>
    </row>
    <row r="438" spans="1:48" x14ac:dyDescent="0.2">
      <c r="A438" s="19">
        <v>446</v>
      </c>
      <c r="B438" t="s">
        <v>1738</v>
      </c>
      <c r="C438" t="s">
        <v>2072</v>
      </c>
      <c r="D438" t="s">
        <v>1036</v>
      </c>
      <c r="E438" t="s">
        <v>2251</v>
      </c>
      <c r="F438" t="s">
        <v>2445</v>
      </c>
      <c r="G438" t="s">
        <v>1250</v>
      </c>
      <c r="H438" t="s">
        <v>3822</v>
      </c>
      <c r="I438">
        <v>2248</v>
      </c>
      <c r="J438" t="s">
        <v>3263</v>
      </c>
      <c r="K438" t="s">
        <v>3617</v>
      </c>
      <c r="L438" t="s">
        <v>2906</v>
      </c>
      <c r="M438" s="1086">
        <v>2198.73</v>
      </c>
      <c r="N438" s="1086">
        <v>248495.52</v>
      </c>
      <c r="O438" s="1086">
        <v>0</v>
      </c>
      <c r="P438" s="1086">
        <v>0</v>
      </c>
      <c r="Q438" s="1086">
        <v>0</v>
      </c>
      <c r="R438" s="1086">
        <v>0</v>
      </c>
      <c r="S438" s="1086">
        <v>0</v>
      </c>
      <c r="T438" s="1086">
        <v>0</v>
      </c>
      <c r="U438" s="1086">
        <v>241406.82</v>
      </c>
      <c r="V438" s="1086">
        <v>1412.18</v>
      </c>
      <c r="W438" s="1086">
        <v>0</v>
      </c>
      <c r="X438" s="1086">
        <v>0</v>
      </c>
      <c r="Y438" s="1086">
        <v>0</v>
      </c>
      <c r="Z438" s="1086">
        <v>0</v>
      </c>
      <c r="AA438" s="1086">
        <v>0</v>
      </c>
      <c r="AB438" s="1086">
        <v>0</v>
      </c>
      <c r="AC438" s="1086">
        <v>7875.25</v>
      </c>
      <c r="AD438" s="1086" t="s">
        <v>248</v>
      </c>
      <c r="AE438" s="1086" t="s">
        <v>3877</v>
      </c>
      <c r="AF438" s="1086">
        <f t="shared" si="25"/>
        <v>7875.25</v>
      </c>
      <c r="AG438" s="1086">
        <f t="shared" si="24"/>
        <v>0</v>
      </c>
      <c r="AQ438" s="1086">
        <v>0</v>
      </c>
      <c r="AR438" s="1086">
        <v>0</v>
      </c>
      <c r="AS438" s="1086">
        <v>7875.25</v>
      </c>
      <c r="AT438" s="1086">
        <f t="shared" si="26"/>
        <v>0</v>
      </c>
      <c r="AV438" s="1150">
        <f t="shared" si="27"/>
        <v>242819</v>
      </c>
    </row>
    <row r="439" spans="1:48" x14ac:dyDescent="0.2">
      <c r="A439" s="19">
        <v>447</v>
      </c>
      <c r="B439" t="s">
        <v>1739</v>
      </c>
      <c r="C439" t="s">
        <v>2072</v>
      </c>
      <c r="D439" t="s">
        <v>1028</v>
      </c>
      <c r="E439" t="s">
        <v>2128</v>
      </c>
      <c r="F439" t="s">
        <v>2325</v>
      </c>
      <c r="G439" t="s">
        <v>1250</v>
      </c>
      <c r="H439" t="s">
        <v>3822</v>
      </c>
      <c r="I439">
        <v>2248</v>
      </c>
      <c r="J439" t="s">
        <v>3255</v>
      </c>
      <c r="K439">
        <v>5576</v>
      </c>
      <c r="L439" t="s">
        <v>2907</v>
      </c>
      <c r="M439" s="1086">
        <v>33098.07</v>
      </c>
      <c r="N439" s="1086">
        <v>85536.87</v>
      </c>
      <c r="O439" s="1086">
        <v>0</v>
      </c>
      <c r="P439" s="1086">
        <v>0</v>
      </c>
      <c r="Q439" s="1086">
        <v>0</v>
      </c>
      <c r="R439" s="1086">
        <v>0</v>
      </c>
      <c r="S439" s="1086">
        <v>0</v>
      </c>
      <c r="T439" s="1086">
        <v>0</v>
      </c>
      <c r="U439" s="1086">
        <v>62985.5</v>
      </c>
      <c r="V439" s="1086">
        <v>0</v>
      </c>
      <c r="W439" s="1086">
        <v>0</v>
      </c>
      <c r="X439" s="1086">
        <v>6185.91</v>
      </c>
      <c r="Y439" s="1086">
        <v>0</v>
      </c>
      <c r="Z439" s="1086">
        <v>0</v>
      </c>
      <c r="AA439" s="1086">
        <v>0</v>
      </c>
      <c r="AB439" s="1086">
        <v>0</v>
      </c>
      <c r="AC439" s="1086">
        <v>49463.53</v>
      </c>
      <c r="AD439" s="1086" t="s">
        <v>248</v>
      </c>
      <c r="AE439" s="1086" t="s">
        <v>3877</v>
      </c>
      <c r="AF439" s="1086">
        <f t="shared" si="25"/>
        <v>49463.53</v>
      </c>
      <c r="AG439" s="1086">
        <f t="shared" si="24"/>
        <v>0</v>
      </c>
      <c r="AQ439" s="1086">
        <v>0</v>
      </c>
      <c r="AR439" s="1086">
        <v>0</v>
      </c>
      <c r="AS439" s="1086">
        <v>49463.53</v>
      </c>
      <c r="AT439" s="1086">
        <f t="shared" si="26"/>
        <v>0</v>
      </c>
      <c r="AV439" s="1150">
        <f t="shared" si="27"/>
        <v>69171.41</v>
      </c>
    </row>
    <row r="440" spans="1:48" x14ac:dyDescent="0.2">
      <c r="A440" s="19">
        <v>448</v>
      </c>
      <c r="B440" t="s">
        <v>1740</v>
      </c>
      <c r="C440" t="s">
        <v>2072</v>
      </c>
      <c r="D440" t="s">
        <v>1005</v>
      </c>
      <c r="E440" t="s">
        <v>2141</v>
      </c>
      <c r="F440" t="s">
        <v>2338</v>
      </c>
      <c r="G440" t="s">
        <v>1250</v>
      </c>
      <c r="H440" t="s">
        <v>3822</v>
      </c>
      <c r="I440" t="s">
        <v>3839</v>
      </c>
      <c r="J440" t="s">
        <v>3355</v>
      </c>
      <c r="K440" t="s">
        <v>3618</v>
      </c>
      <c r="L440" t="s">
        <v>2908</v>
      </c>
      <c r="M440" s="1086">
        <v>0</v>
      </c>
      <c r="N440" s="1086">
        <v>0</v>
      </c>
      <c r="O440" s="1086">
        <v>0</v>
      </c>
      <c r="P440" s="1086">
        <v>0</v>
      </c>
      <c r="Q440" s="1086">
        <v>0</v>
      </c>
      <c r="R440" s="1086">
        <v>0</v>
      </c>
      <c r="S440" s="1086">
        <v>0</v>
      </c>
      <c r="T440" s="1086">
        <v>0</v>
      </c>
      <c r="U440" s="1086">
        <v>0</v>
      </c>
      <c r="V440" s="1086">
        <v>0</v>
      </c>
      <c r="W440" s="1086">
        <v>0</v>
      </c>
      <c r="X440" s="1086">
        <v>0</v>
      </c>
      <c r="Y440" s="1086">
        <v>0</v>
      </c>
      <c r="Z440" s="1086">
        <v>0</v>
      </c>
      <c r="AA440" s="1086">
        <v>0</v>
      </c>
      <c r="AB440" s="1086">
        <v>0</v>
      </c>
      <c r="AC440" s="1086">
        <v>0</v>
      </c>
      <c r="AD440" s="1086" t="s">
        <v>248</v>
      </c>
      <c r="AE440" s="1086" t="s">
        <v>3877</v>
      </c>
      <c r="AF440" s="1086">
        <f t="shared" si="25"/>
        <v>0</v>
      </c>
      <c r="AG440" s="1086">
        <f t="shared" si="24"/>
        <v>0</v>
      </c>
      <c r="AQ440" s="1086">
        <v>0</v>
      </c>
      <c r="AR440" s="1086">
        <v>0</v>
      </c>
      <c r="AS440" s="1086">
        <v>0</v>
      </c>
      <c r="AT440" s="1086">
        <f t="shared" si="26"/>
        <v>0</v>
      </c>
      <c r="AV440" s="1150">
        <f t="shared" si="27"/>
        <v>0</v>
      </c>
    </row>
    <row r="441" spans="1:48" x14ac:dyDescent="0.2">
      <c r="A441" s="19">
        <v>449</v>
      </c>
      <c r="B441" t="s">
        <v>1741</v>
      </c>
      <c r="C441" t="s">
        <v>2072</v>
      </c>
      <c r="D441" t="s">
        <v>1005</v>
      </c>
      <c r="E441" t="s">
        <v>2161</v>
      </c>
      <c r="F441" t="s">
        <v>2358</v>
      </c>
      <c r="G441" t="s">
        <v>1250</v>
      </c>
      <c r="H441" t="s">
        <v>3822</v>
      </c>
      <c r="I441">
        <v>2248</v>
      </c>
      <c r="J441" t="s">
        <v>3355</v>
      </c>
      <c r="K441" t="s">
        <v>3619</v>
      </c>
      <c r="L441" t="s">
        <v>2909</v>
      </c>
      <c r="M441" s="1086">
        <v>57529.35</v>
      </c>
      <c r="N441" s="1086">
        <v>107471.73</v>
      </c>
      <c r="O441" s="1086">
        <v>0</v>
      </c>
      <c r="P441" s="1086">
        <v>0</v>
      </c>
      <c r="Q441" s="1086">
        <v>0</v>
      </c>
      <c r="R441" s="1086">
        <v>0</v>
      </c>
      <c r="S441" s="1086">
        <v>0</v>
      </c>
      <c r="T441" s="1086">
        <v>0</v>
      </c>
      <c r="U441" s="1086">
        <v>79081.240000000005</v>
      </c>
      <c r="V441" s="1086">
        <v>0</v>
      </c>
      <c r="W441" s="1086">
        <v>0</v>
      </c>
      <c r="X441" s="1086">
        <v>0</v>
      </c>
      <c r="Y441" s="1086">
        <v>0</v>
      </c>
      <c r="Z441" s="1086">
        <v>0</v>
      </c>
      <c r="AA441" s="1086">
        <v>0</v>
      </c>
      <c r="AB441" s="1086">
        <v>0</v>
      </c>
      <c r="AC441" s="1086">
        <v>85919.84</v>
      </c>
      <c r="AD441" s="1086" t="s">
        <v>248</v>
      </c>
      <c r="AE441" s="1086" t="s">
        <v>3877</v>
      </c>
      <c r="AF441" s="1086">
        <f t="shared" si="25"/>
        <v>85919.839999999982</v>
      </c>
      <c r="AG441" s="1086">
        <f t="shared" si="24"/>
        <v>0</v>
      </c>
      <c r="AQ441" s="1086">
        <v>0</v>
      </c>
      <c r="AR441" s="1086">
        <v>0</v>
      </c>
      <c r="AS441" s="1086">
        <v>85919.84</v>
      </c>
      <c r="AT441" s="1086">
        <f t="shared" si="26"/>
        <v>0</v>
      </c>
      <c r="AV441" s="1150">
        <f t="shared" si="27"/>
        <v>79081.240000000005</v>
      </c>
    </row>
    <row r="442" spans="1:48" x14ac:dyDescent="0.2">
      <c r="A442" s="19">
        <v>450</v>
      </c>
      <c r="B442" t="s">
        <v>1742</v>
      </c>
      <c r="C442" t="s">
        <v>2072</v>
      </c>
      <c r="D442" t="s">
        <v>1058</v>
      </c>
      <c r="E442" t="s">
        <v>2249</v>
      </c>
      <c r="F442" t="s">
        <v>2443</v>
      </c>
      <c r="G442" t="s">
        <v>1250</v>
      </c>
      <c r="H442" t="s">
        <v>3822</v>
      </c>
      <c r="I442">
        <v>2248</v>
      </c>
      <c r="J442" t="s">
        <v>3313</v>
      </c>
      <c r="K442" t="s">
        <v>3620</v>
      </c>
      <c r="L442" t="s">
        <v>2910</v>
      </c>
      <c r="M442" s="1086">
        <v>177545.77</v>
      </c>
      <c r="N442" s="1086">
        <v>213559.46</v>
      </c>
      <c r="O442" s="1086">
        <v>0</v>
      </c>
      <c r="P442" s="1086">
        <v>42375</v>
      </c>
      <c r="Q442" s="1086">
        <v>0</v>
      </c>
      <c r="R442" s="1086">
        <v>0</v>
      </c>
      <c r="S442" s="1086">
        <v>0</v>
      </c>
      <c r="T442" s="1086">
        <v>7895.14</v>
      </c>
      <c r="U442" s="1086">
        <v>163359.39000000001</v>
      </c>
      <c r="V442" s="1086">
        <v>0</v>
      </c>
      <c r="W442" s="1086">
        <v>0</v>
      </c>
      <c r="X442" s="1086">
        <v>0</v>
      </c>
      <c r="Y442" s="1086">
        <v>0</v>
      </c>
      <c r="Z442" s="1086">
        <v>0</v>
      </c>
      <c r="AA442" s="1086">
        <v>0</v>
      </c>
      <c r="AB442" s="1086">
        <v>0</v>
      </c>
      <c r="AC442" s="1086">
        <v>177475.7</v>
      </c>
      <c r="AD442" s="1086" t="s">
        <v>248</v>
      </c>
      <c r="AE442" s="1086" t="s">
        <v>3877</v>
      </c>
      <c r="AF442" s="1086">
        <f t="shared" si="25"/>
        <v>177475.69999999995</v>
      </c>
      <c r="AG442" s="1086">
        <f t="shared" si="24"/>
        <v>0</v>
      </c>
      <c r="AQ442" s="1086">
        <v>0</v>
      </c>
      <c r="AR442" s="1086">
        <v>0</v>
      </c>
      <c r="AS442" s="1086">
        <v>177475.7</v>
      </c>
      <c r="AT442" s="1086">
        <f t="shared" si="26"/>
        <v>0</v>
      </c>
      <c r="AV442" s="1150">
        <f t="shared" si="27"/>
        <v>213629.53000000003</v>
      </c>
    </row>
    <row r="443" spans="1:48" x14ac:dyDescent="0.2">
      <c r="A443" s="19">
        <v>451</v>
      </c>
      <c r="B443" t="s">
        <v>1743</v>
      </c>
      <c r="C443" t="s">
        <v>2072</v>
      </c>
      <c r="D443" t="s">
        <v>1005</v>
      </c>
      <c r="E443" t="s">
        <v>2166</v>
      </c>
      <c r="F443" t="s">
        <v>2363</v>
      </c>
      <c r="G443" t="s">
        <v>1250</v>
      </c>
      <c r="H443" t="s">
        <v>3822</v>
      </c>
      <c r="I443">
        <v>2248</v>
      </c>
      <c r="J443" t="s">
        <v>3355</v>
      </c>
      <c r="K443" t="s">
        <v>3621</v>
      </c>
      <c r="L443" t="s">
        <v>2911</v>
      </c>
      <c r="M443" s="1086">
        <v>44831.32</v>
      </c>
      <c r="N443" s="1086">
        <v>130581.01</v>
      </c>
      <c r="O443" s="1086">
        <v>0</v>
      </c>
      <c r="P443" s="1086">
        <v>0</v>
      </c>
      <c r="Q443" s="1086">
        <v>0</v>
      </c>
      <c r="R443" s="1086">
        <v>0</v>
      </c>
      <c r="S443" s="1086">
        <v>0</v>
      </c>
      <c r="T443" s="1086">
        <v>0</v>
      </c>
      <c r="U443" s="1086">
        <v>168699.42</v>
      </c>
      <c r="V443" s="1086">
        <v>0</v>
      </c>
      <c r="W443" s="1086">
        <v>0</v>
      </c>
      <c r="X443" s="1086">
        <v>0</v>
      </c>
      <c r="Y443" s="1086">
        <v>0</v>
      </c>
      <c r="Z443" s="1086">
        <v>0</v>
      </c>
      <c r="AA443" s="1086">
        <v>0</v>
      </c>
      <c r="AB443" s="1086">
        <v>0</v>
      </c>
      <c r="AC443" s="1086">
        <v>6712.91</v>
      </c>
      <c r="AD443" s="1086" t="s">
        <v>248</v>
      </c>
      <c r="AE443" s="1086" t="s">
        <v>3877</v>
      </c>
      <c r="AF443" s="1086">
        <f t="shared" si="25"/>
        <v>6712.9099999999744</v>
      </c>
      <c r="AG443" s="1086">
        <f t="shared" ref="AG443:AG502" si="28">AC443-AF443</f>
        <v>2.5465851649641991E-11</v>
      </c>
      <c r="AQ443" s="1086">
        <v>0</v>
      </c>
      <c r="AR443" s="1086">
        <v>0</v>
      </c>
      <c r="AS443" s="1086">
        <v>6712.91</v>
      </c>
      <c r="AT443" s="1086">
        <f t="shared" si="26"/>
        <v>0</v>
      </c>
      <c r="AV443" s="1150">
        <f t="shared" si="27"/>
        <v>168699.42</v>
      </c>
    </row>
    <row r="444" spans="1:48" x14ac:dyDescent="0.2">
      <c r="A444" s="19">
        <v>452</v>
      </c>
      <c r="B444" t="s">
        <v>1744</v>
      </c>
      <c r="C444" t="s">
        <v>2072</v>
      </c>
      <c r="D444" t="s">
        <v>1045</v>
      </c>
      <c r="E444" t="s">
        <v>2176</v>
      </c>
      <c r="F444" t="s">
        <v>2372</v>
      </c>
      <c r="G444" t="s">
        <v>1250</v>
      </c>
      <c r="H444" t="s">
        <v>3822</v>
      </c>
      <c r="I444">
        <v>2248</v>
      </c>
      <c r="J444" t="s">
        <v>3622</v>
      </c>
      <c r="K444">
        <v>8131</v>
      </c>
      <c r="L444" t="s">
        <v>2912</v>
      </c>
      <c r="M444" s="1086">
        <v>485300.55</v>
      </c>
      <c r="N444" s="1086">
        <v>505878.67000000004</v>
      </c>
      <c r="O444" s="1086">
        <v>0</v>
      </c>
      <c r="P444" s="1086">
        <v>284990.24</v>
      </c>
      <c r="Q444" s="1086">
        <v>0</v>
      </c>
      <c r="R444" s="1086">
        <v>76020.55</v>
      </c>
      <c r="S444" s="1086">
        <v>20839.5</v>
      </c>
      <c r="T444" s="1086">
        <v>144223.9</v>
      </c>
      <c r="U444" s="1086">
        <v>184571.18</v>
      </c>
      <c r="V444" s="1086">
        <v>0</v>
      </c>
      <c r="W444" s="1086">
        <v>0</v>
      </c>
      <c r="X444" s="1086">
        <v>5623.36</v>
      </c>
      <c r="Y444" s="1086">
        <v>-232909</v>
      </c>
      <c r="Z444" s="1086">
        <v>0</v>
      </c>
      <c r="AA444" s="1086">
        <v>72000</v>
      </c>
      <c r="AB444" s="1086">
        <v>0</v>
      </c>
      <c r="AC444" s="1086">
        <v>435819.49</v>
      </c>
      <c r="AD444" s="1103" t="s">
        <v>609</v>
      </c>
      <c r="AE444" s="1086" t="s">
        <v>3882</v>
      </c>
      <c r="AF444" s="1086">
        <f t="shared" si="25"/>
        <v>435819.49000000011</v>
      </c>
      <c r="AG444" s="1086">
        <f t="shared" si="28"/>
        <v>0</v>
      </c>
      <c r="AQ444" s="1086">
        <v>0</v>
      </c>
      <c r="AR444" s="1086">
        <v>0</v>
      </c>
      <c r="AS444" s="1086">
        <v>435819.49</v>
      </c>
      <c r="AT444" s="1086">
        <f t="shared" si="26"/>
        <v>0</v>
      </c>
      <c r="AV444" s="1150">
        <f t="shared" si="27"/>
        <v>555359.72999999986</v>
      </c>
    </row>
    <row r="445" spans="1:48" x14ac:dyDescent="0.2">
      <c r="A445" s="19">
        <v>453</v>
      </c>
      <c r="B445" t="s">
        <v>1745</v>
      </c>
      <c r="C445" t="s">
        <v>2072</v>
      </c>
      <c r="D445" t="s">
        <v>1045</v>
      </c>
      <c r="E445" t="s">
        <v>2176</v>
      </c>
      <c r="F445" t="s">
        <v>2372</v>
      </c>
      <c r="G445" t="s">
        <v>1250</v>
      </c>
      <c r="H445" t="s">
        <v>3822</v>
      </c>
      <c r="I445">
        <v>2248</v>
      </c>
      <c r="J445" t="s">
        <v>3255</v>
      </c>
      <c r="K445">
        <v>5579</v>
      </c>
      <c r="L445" t="s">
        <v>2913</v>
      </c>
      <c r="M445" s="1086">
        <v>26532.400000000001</v>
      </c>
      <c r="N445" s="1086">
        <v>90005.64</v>
      </c>
      <c r="O445" s="1086">
        <v>0</v>
      </c>
      <c r="P445" s="1086">
        <v>0</v>
      </c>
      <c r="Q445" s="1086">
        <v>0</v>
      </c>
      <c r="R445" s="1086">
        <v>0</v>
      </c>
      <c r="S445" s="1086">
        <v>0</v>
      </c>
      <c r="T445" s="1086">
        <v>0</v>
      </c>
      <c r="U445" s="1086">
        <v>34560</v>
      </c>
      <c r="V445" s="1086">
        <v>0</v>
      </c>
      <c r="W445" s="1086">
        <v>0</v>
      </c>
      <c r="X445" s="1086">
        <v>0</v>
      </c>
      <c r="Y445" s="1086">
        <v>0</v>
      </c>
      <c r="Z445" s="1086">
        <v>0</v>
      </c>
      <c r="AA445" s="1086">
        <v>0</v>
      </c>
      <c r="AB445" s="1086">
        <v>0</v>
      </c>
      <c r="AC445" s="1086">
        <v>81978.039999999994</v>
      </c>
      <c r="AD445" s="1086" t="s">
        <v>248</v>
      </c>
      <c r="AE445" s="1086" t="s">
        <v>3877</v>
      </c>
      <c r="AF445" s="1086">
        <f t="shared" si="25"/>
        <v>81978.040000000008</v>
      </c>
      <c r="AG445" s="1086">
        <f t="shared" si="28"/>
        <v>0</v>
      </c>
      <c r="AQ445" s="1086">
        <v>0</v>
      </c>
      <c r="AR445" s="1086">
        <v>0</v>
      </c>
      <c r="AS445" s="1086">
        <v>81978.039999999994</v>
      </c>
      <c r="AT445" s="1086">
        <f t="shared" si="26"/>
        <v>0</v>
      </c>
      <c r="AV445" s="1150">
        <f t="shared" si="27"/>
        <v>34560</v>
      </c>
    </row>
    <row r="446" spans="1:48" x14ac:dyDescent="0.2">
      <c r="A446" s="19">
        <v>454</v>
      </c>
      <c r="B446" t="s">
        <v>1746</v>
      </c>
      <c r="C446" t="s">
        <v>2072</v>
      </c>
      <c r="D446" t="s">
        <v>1059</v>
      </c>
      <c r="E446" t="s">
        <v>2183</v>
      </c>
      <c r="F446" t="s">
        <v>2379</v>
      </c>
      <c r="G446" t="s">
        <v>1250</v>
      </c>
      <c r="H446" t="s">
        <v>3822</v>
      </c>
      <c r="I446">
        <v>2248</v>
      </c>
      <c r="J446" t="s">
        <v>3257</v>
      </c>
      <c r="K446" t="s">
        <v>3623</v>
      </c>
      <c r="L446" t="s">
        <v>2914</v>
      </c>
      <c r="M446" s="1086">
        <v>75494.95</v>
      </c>
      <c r="N446" s="1086">
        <v>75486.539999999994</v>
      </c>
      <c r="O446" s="1086">
        <v>0</v>
      </c>
      <c r="P446" s="1086">
        <v>0</v>
      </c>
      <c r="Q446" s="1086">
        <v>0</v>
      </c>
      <c r="R446" s="1086">
        <v>0</v>
      </c>
      <c r="S446" s="1086">
        <v>0</v>
      </c>
      <c r="T446" s="1086">
        <v>0</v>
      </c>
      <c r="U446" s="1086">
        <v>87170.11</v>
      </c>
      <c r="V446" s="1086">
        <v>0</v>
      </c>
      <c r="W446" s="1086">
        <v>0</v>
      </c>
      <c r="X446" s="1086">
        <v>0</v>
      </c>
      <c r="Y446" s="1086">
        <v>0</v>
      </c>
      <c r="Z446" s="1086">
        <v>0</v>
      </c>
      <c r="AA446" s="1086">
        <v>9050</v>
      </c>
      <c r="AB446" s="1086">
        <v>0</v>
      </c>
      <c r="AC446" s="1086">
        <v>54761.38</v>
      </c>
      <c r="AD446" s="1086" t="s">
        <v>248</v>
      </c>
      <c r="AE446" s="1086" t="s">
        <v>3877</v>
      </c>
      <c r="AF446" s="1086">
        <f t="shared" si="25"/>
        <v>54761.37999999999</v>
      </c>
      <c r="AG446" s="1086">
        <f t="shared" si="28"/>
        <v>0</v>
      </c>
      <c r="AQ446" s="1086">
        <v>0</v>
      </c>
      <c r="AR446" s="1086">
        <v>0</v>
      </c>
      <c r="AS446" s="1086">
        <v>54761.38</v>
      </c>
      <c r="AT446" s="1086">
        <f t="shared" si="26"/>
        <v>0</v>
      </c>
      <c r="AV446" s="1150">
        <f t="shared" si="27"/>
        <v>96220.11</v>
      </c>
    </row>
    <row r="447" spans="1:48" x14ac:dyDescent="0.2">
      <c r="A447" s="19">
        <v>455</v>
      </c>
      <c r="B447" t="s">
        <v>1747</v>
      </c>
      <c r="C447" t="s">
        <v>2072</v>
      </c>
      <c r="D447" t="s">
        <v>1026</v>
      </c>
      <c r="E447" t="s">
        <v>2237</v>
      </c>
      <c r="F447" t="s">
        <v>2431</v>
      </c>
      <c r="G447" t="s">
        <v>1250</v>
      </c>
      <c r="H447" t="s">
        <v>3822</v>
      </c>
      <c r="I447">
        <v>2248</v>
      </c>
      <c r="J447" t="s">
        <v>3357</v>
      </c>
      <c r="K447" t="s">
        <v>3624</v>
      </c>
      <c r="L447" t="s">
        <v>2915</v>
      </c>
      <c r="M447" s="1086">
        <v>93922.31</v>
      </c>
      <c r="N447" s="1086">
        <v>172368.67</v>
      </c>
      <c r="O447" s="1086">
        <v>0</v>
      </c>
      <c r="P447" s="1086">
        <v>2407.44</v>
      </c>
      <c r="Q447" s="1086">
        <v>0</v>
      </c>
      <c r="R447" s="1086">
        <v>0</v>
      </c>
      <c r="S447" s="1086">
        <v>117463</v>
      </c>
      <c r="T447" s="1086">
        <v>2553.35</v>
      </c>
      <c r="U447" s="1086">
        <v>8265.42</v>
      </c>
      <c r="V447" s="1086">
        <v>0</v>
      </c>
      <c r="W447" s="1086">
        <v>0</v>
      </c>
      <c r="X447" s="1086">
        <v>0</v>
      </c>
      <c r="Y447" s="1086">
        <v>0</v>
      </c>
      <c r="Z447" s="1086">
        <v>0</v>
      </c>
      <c r="AA447" s="1086">
        <v>0</v>
      </c>
      <c r="AB447" s="1086">
        <v>0</v>
      </c>
      <c r="AC447" s="1086">
        <v>135601.76999999999</v>
      </c>
      <c r="AD447" s="1086" t="s">
        <v>248</v>
      </c>
      <c r="AE447" s="1086" t="s">
        <v>3877</v>
      </c>
      <c r="AF447" s="1086">
        <f t="shared" si="25"/>
        <v>135601.76999999996</v>
      </c>
      <c r="AG447" s="1086">
        <f t="shared" si="28"/>
        <v>0</v>
      </c>
      <c r="AQ447" s="1086">
        <v>0</v>
      </c>
      <c r="AR447" s="1086">
        <v>0</v>
      </c>
      <c r="AS447" s="1086">
        <v>135601.76999999999</v>
      </c>
      <c r="AT447" s="1086">
        <f t="shared" si="26"/>
        <v>0</v>
      </c>
      <c r="AV447" s="1150">
        <f t="shared" si="27"/>
        <v>130689.21</v>
      </c>
    </row>
    <row r="448" spans="1:48" x14ac:dyDescent="0.2">
      <c r="A448" s="19">
        <v>456</v>
      </c>
      <c r="B448" t="s">
        <v>1748</v>
      </c>
      <c r="C448" t="s">
        <v>2072</v>
      </c>
      <c r="D448" t="s">
        <v>1036</v>
      </c>
      <c r="E448" t="s">
        <v>2189</v>
      </c>
      <c r="F448" t="s">
        <v>2384</v>
      </c>
      <c r="G448" t="s">
        <v>1250</v>
      </c>
      <c r="H448" t="s">
        <v>3822</v>
      </c>
      <c r="I448">
        <v>2248</v>
      </c>
      <c r="J448" t="s">
        <v>3263</v>
      </c>
      <c r="K448" t="s">
        <v>3625</v>
      </c>
      <c r="L448" t="s">
        <v>2916</v>
      </c>
      <c r="M448" s="1086">
        <v>22810.54</v>
      </c>
      <c r="N448" s="1086">
        <v>146602.06</v>
      </c>
      <c r="O448" s="1086">
        <v>0</v>
      </c>
      <c r="P448" s="1086">
        <v>0</v>
      </c>
      <c r="Q448" s="1086">
        <v>0</v>
      </c>
      <c r="R448" s="1086">
        <v>0</v>
      </c>
      <c r="S448" s="1086">
        <v>0</v>
      </c>
      <c r="T448" s="1086">
        <v>0</v>
      </c>
      <c r="U448" s="1086">
        <v>161138.94</v>
      </c>
      <c r="V448" s="1086">
        <v>5.3</v>
      </c>
      <c r="W448" s="1086">
        <v>0</v>
      </c>
      <c r="X448" s="1086">
        <v>5832.38</v>
      </c>
      <c r="Y448" s="1086">
        <v>0</v>
      </c>
      <c r="Z448" s="1086">
        <v>0</v>
      </c>
      <c r="AA448" s="1086">
        <v>0</v>
      </c>
      <c r="AB448" s="1086">
        <v>0</v>
      </c>
      <c r="AC448" s="1086">
        <v>2435.98</v>
      </c>
      <c r="AD448" s="1086" t="s">
        <v>248</v>
      </c>
      <c r="AE448" s="1086" t="s">
        <v>3877</v>
      </c>
      <c r="AF448" s="1086">
        <f t="shared" si="25"/>
        <v>2435.9800000000105</v>
      </c>
      <c r="AG448" s="1086">
        <f t="shared" si="28"/>
        <v>-1.0459189070388675E-11</v>
      </c>
      <c r="AQ448" s="1086">
        <v>0</v>
      </c>
      <c r="AR448" s="1086">
        <v>0</v>
      </c>
      <c r="AS448" s="1086">
        <v>2435.98</v>
      </c>
      <c r="AT448" s="1086">
        <f t="shared" si="26"/>
        <v>0</v>
      </c>
      <c r="AV448" s="1150">
        <f t="shared" si="27"/>
        <v>166976.62</v>
      </c>
    </row>
    <row r="449" spans="1:48" x14ac:dyDescent="0.2">
      <c r="A449" s="19">
        <v>457</v>
      </c>
      <c r="B449" t="s">
        <v>1749</v>
      </c>
      <c r="C449" t="s">
        <v>2072</v>
      </c>
      <c r="D449" t="s">
        <v>1050</v>
      </c>
      <c r="E449" t="s">
        <v>2238</v>
      </c>
      <c r="F449" t="s">
        <v>2432</v>
      </c>
      <c r="G449" t="s">
        <v>1250</v>
      </c>
      <c r="H449" t="s">
        <v>3822</v>
      </c>
      <c r="I449">
        <v>2248</v>
      </c>
      <c r="J449" t="s">
        <v>3272</v>
      </c>
      <c r="K449" t="s">
        <v>3626</v>
      </c>
      <c r="L449" t="s">
        <v>2917</v>
      </c>
      <c r="M449" s="1086">
        <v>95694.24</v>
      </c>
      <c r="N449" s="1086">
        <v>25284.89</v>
      </c>
      <c r="O449" s="1086">
        <v>0</v>
      </c>
      <c r="P449" s="1086">
        <v>0</v>
      </c>
      <c r="Q449" s="1086">
        <v>0</v>
      </c>
      <c r="R449" s="1086">
        <v>0</v>
      </c>
      <c r="S449" s="1086">
        <v>0</v>
      </c>
      <c r="T449" s="1086">
        <v>0</v>
      </c>
      <c r="U449" s="1086">
        <v>99429.2</v>
      </c>
      <c r="V449" s="1086">
        <v>0</v>
      </c>
      <c r="W449" s="1086">
        <v>0</v>
      </c>
      <c r="X449" s="1086">
        <v>0</v>
      </c>
      <c r="Y449" s="1086">
        <v>0</v>
      </c>
      <c r="Z449" s="1086">
        <v>0</v>
      </c>
      <c r="AA449" s="1086">
        <v>0</v>
      </c>
      <c r="AB449" s="1086">
        <v>0</v>
      </c>
      <c r="AC449" s="1086">
        <v>21549.93</v>
      </c>
      <c r="AD449" s="1086" t="s">
        <v>248</v>
      </c>
      <c r="AE449" s="1086" t="s">
        <v>3877</v>
      </c>
      <c r="AF449" s="1086">
        <f t="shared" si="25"/>
        <v>21549.930000000008</v>
      </c>
      <c r="AG449" s="1086">
        <f t="shared" si="28"/>
        <v>0</v>
      </c>
      <c r="AQ449" s="1086">
        <v>0</v>
      </c>
      <c r="AR449" s="1086">
        <v>0</v>
      </c>
      <c r="AS449" s="1086">
        <v>21549.93</v>
      </c>
      <c r="AT449" s="1086">
        <f t="shared" si="26"/>
        <v>0</v>
      </c>
      <c r="AV449" s="1150">
        <f t="shared" si="27"/>
        <v>99429.2</v>
      </c>
    </row>
    <row r="450" spans="1:48" x14ac:dyDescent="0.2">
      <c r="A450" s="19">
        <v>458</v>
      </c>
      <c r="B450" t="s">
        <v>1750</v>
      </c>
      <c r="C450" t="s">
        <v>2072</v>
      </c>
      <c r="D450" t="s">
        <v>1026</v>
      </c>
      <c r="E450" t="s">
        <v>2239</v>
      </c>
      <c r="F450" t="s">
        <v>2433</v>
      </c>
      <c r="G450" t="s">
        <v>1250</v>
      </c>
      <c r="H450" t="s">
        <v>3822</v>
      </c>
      <c r="I450">
        <v>2248</v>
      </c>
      <c r="J450" t="s">
        <v>3357</v>
      </c>
      <c r="K450">
        <v>4963</v>
      </c>
      <c r="L450" t="s">
        <v>2918</v>
      </c>
      <c r="M450" s="1086">
        <v>68995.899999999994</v>
      </c>
      <c r="N450" s="1086">
        <v>53396.27</v>
      </c>
      <c r="O450" s="1086">
        <v>0</v>
      </c>
      <c r="P450" s="1086">
        <v>0</v>
      </c>
      <c r="Q450" s="1086">
        <v>0</v>
      </c>
      <c r="R450" s="1086">
        <v>0</v>
      </c>
      <c r="S450" s="1086">
        <v>0</v>
      </c>
      <c r="T450" s="1086">
        <v>0</v>
      </c>
      <c r="U450" s="1086">
        <v>50586.84</v>
      </c>
      <c r="V450" s="1086">
        <v>0</v>
      </c>
      <c r="W450" s="1086">
        <v>0</v>
      </c>
      <c r="X450" s="1086">
        <v>0</v>
      </c>
      <c r="Y450" s="1086">
        <v>0</v>
      </c>
      <c r="Z450" s="1086">
        <v>0</v>
      </c>
      <c r="AA450" s="1086">
        <v>0</v>
      </c>
      <c r="AB450" s="1086">
        <v>0</v>
      </c>
      <c r="AC450" s="1086">
        <v>71805.33</v>
      </c>
      <c r="AD450" s="1086" t="s">
        <v>248</v>
      </c>
      <c r="AE450" s="1086" t="s">
        <v>3877</v>
      </c>
      <c r="AF450" s="1086">
        <f t="shared" si="25"/>
        <v>71805.329999999987</v>
      </c>
      <c r="AG450" s="1086">
        <f t="shared" si="28"/>
        <v>0</v>
      </c>
      <c r="AQ450" s="1086">
        <v>0</v>
      </c>
      <c r="AR450" s="1086">
        <v>0</v>
      </c>
      <c r="AS450" s="1086">
        <v>71805.33</v>
      </c>
      <c r="AT450" s="1086">
        <f t="shared" si="26"/>
        <v>0</v>
      </c>
      <c r="AV450" s="1150">
        <f t="shared" si="27"/>
        <v>50586.84</v>
      </c>
    </row>
    <row r="451" spans="1:48" x14ac:dyDescent="0.2">
      <c r="A451" s="19">
        <v>459</v>
      </c>
      <c r="B451" t="s">
        <v>1751</v>
      </c>
      <c r="C451" t="s">
        <v>2072</v>
      </c>
      <c r="D451" t="s">
        <v>1005</v>
      </c>
      <c r="E451" t="s">
        <v>2195</v>
      </c>
      <c r="F451" t="s">
        <v>2390</v>
      </c>
      <c r="G451" t="s">
        <v>1250</v>
      </c>
      <c r="H451" t="s">
        <v>3822</v>
      </c>
      <c r="I451">
        <v>0</v>
      </c>
      <c r="L451" t="s">
        <v>2919</v>
      </c>
      <c r="M451" s="1086">
        <v>107529.55</v>
      </c>
      <c r="N451" s="1086">
        <v>250</v>
      </c>
      <c r="O451" s="1086">
        <v>0</v>
      </c>
      <c r="P451" s="1086">
        <v>6871.23</v>
      </c>
      <c r="Q451" s="1086">
        <v>29811.759999999998</v>
      </c>
      <c r="R451" s="1086">
        <v>0</v>
      </c>
      <c r="S451" s="1086">
        <v>11227.65</v>
      </c>
      <c r="T451" s="1086">
        <v>7591.92</v>
      </c>
      <c r="U451" s="1086">
        <v>52264.67</v>
      </c>
      <c r="V451" s="1086">
        <v>0</v>
      </c>
      <c r="W451" s="1086">
        <v>0</v>
      </c>
      <c r="X451" s="1086">
        <v>0</v>
      </c>
      <c r="Y451" s="1086">
        <v>0</v>
      </c>
      <c r="Z451" s="1086">
        <v>0</v>
      </c>
      <c r="AA451" s="1086">
        <v>12.32</v>
      </c>
      <c r="AB451" s="1086">
        <v>0</v>
      </c>
      <c r="AC451" s="1086">
        <v>0</v>
      </c>
      <c r="AD451" s="1086" t="s">
        <v>248</v>
      </c>
      <c r="AE451" s="1086" t="s">
        <v>3877</v>
      </c>
      <c r="AF451" s="1086">
        <f t="shared" si="25"/>
        <v>0</v>
      </c>
      <c r="AG451" s="1086">
        <f t="shared" si="28"/>
        <v>0</v>
      </c>
      <c r="AQ451" s="1086">
        <v>0</v>
      </c>
      <c r="AR451" s="1086">
        <v>0</v>
      </c>
      <c r="AS451" s="1086">
        <v>0</v>
      </c>
      <c r="AT451" s="1086">
        <f t="shared" si="26"/>
        <v>0</v>
      </c>
      <c r="AV451" s="1150">
        <f t="shared" si="27"/>
        <v>107779.55</v>
      </c>
    </row>
    <row r="452" spans="1:48" x14ac:dyDescent="0.2">
      <c r="A452" s="19">
        <v>460</v>
      </c>
      <c r="B452" t="s">
        <v>1752</v>
      </c>
      <c r="C452" t="s">
        <v>2072</v>
      </c>
      <c r="D452" t="s">
        <v>1005</v>
      </c>
      <c r="E452" t="s">
        <v>2195</v>
      </c>
      <c r="F452" t="s">
        <v>2390</v>
      </c>
      <c r="G452" t="s">
        <v>1250</v>
      </c>
      <c r="H452" t="s">
        <v>3822</v>
      </c>
      <c r="I452">
        <v>2248</v>
      </c>
      <c r="J452" t="s">
        <v>3355</v>
      </c>
      <c r="K452" t="s">
        <v>3627</v>
      </c>
      <c r="L452" t="s">
        <v>2920</v>
      </c>
      <c r="M452" s="1086">
        <v>64212.04</v>
      </c>
      <c r="N452" s="1086">
        <v>34070.54</v>
      </c>
      <c r="O452" s="1086">
        <v>6.16</v>
      </c>
      <c r="P452" s="1086">
        <v>3996.7</v>
      </c>
      <c r="Q452" s="1086">
        <v>0</v>
      </c>
      <c r="R452" s="1086">
        <v>0</v>
      </c>
      <c r="S452" s="1086">
        <v>55857.9</v>
      </c>
      <c r="T452" s="1086">
        <v>21711.13</v>
      </c>
      <c r="U452" s="1086">
        <v>0</v>
      </c>
      <c r="V452" s="1086">
        <v>0</v>
      </c>
      <c r="W452" s="1086">
        <v>0</v>
      </c>
      <c r="X452" s="1086">
        <v>0</v>
      </c>
      <c r="Y452" s="1086">
        <v>0</v>
      </c>
      <c r="Z452" s="1086">
        <v>0</v>
      </c>
      <c r="AA452" s="1086">
        <v>0</v>
      </c>
      <c r="AB452" s="1086">
        <v>0</v>
      </c>
      <c r="AC452" s="1086">
        <v>16723.009999999998</v>
      </c>
      <c r="AD452" s="1086" t="s">
        <v>248</v>
      </c>
      <c r="AE452" s="1086" t="s">
        <v>3877</v>
      </c>
      <c r="AF452" s="1086">
        <f t="shared" si="25"/>
        <v>16723.010000000009</v>
      </c>
      <c r="AG452" s="1086">
        <f t="shared" si="28"/>
        <v>0</v>
      </c>
      <c r="AQ452" s="1086">
        <v>0</v>
      </c>
      <c r="AR452" s="1086">
        <v>0</v>
      </c>
      <c r="AS452" s="1086">
        <v>16723.009999999998</v>
      </c>
      <c r="AT452" s="1086">
        <f t="shared" si="26"/>
        <v>0</v>
      </c>
      <c r="AV452" s="1150">
        <f t="shared" si="27"/>
        <v>81565.73</v>
      </c>
    </row>
    <row r="453" spans="1:48" x14ac:dyDescent="0.2">
      <c r="A453" s="19">
        <v>462</v>
      </c>
      <c r="B453" t="s">
        <v>1754</v>
      </c>
      <c r="C453" t="s">
        <v>2072</v>
      </c>
      <c r="D453" t="s">
        <v>1031</v>
      </c>
      <c r="E453" t="s">
        <v>2197</v>
      </c>
      <c r="F453" t="s">
        <v>2392</v>
      </c>
      <c r="G453" t="s">
        <v>3831</v>
      </c>
      <c r="H453" t="s">
        <v>3822</v>
      </c>
      <c r="I453">
        <v>2248</v>
      </c>
      <c r="J453" t="s">
        <v>3341</v>
      </c>
      <c r="K453" t="s">
        <v>3628</v>
      </c>
      <c r="L453" t="s">
        <v>2922</v>
      </c>
      <c r="M453" s="1086">
        <v>0</v>
      </c>
      <c r="N453" s="1086">
        <v>0</v>
      </c>
      <c r="O453" s="1086">
        <v>0</v>
      </c>
      <c r="P453" s="1086">
        <v>0</v>
      </c>
      <c r="Q453" s="1086">
        <v>0</v>
      </c>
      <c r="R453" s="1086">
        <v>0</v>
      </c>
      <c r="S453" s="1086">
        <v>0</v>
      </c>
      <c r="T453" s="1086">
        <v>0</v>
      </c>
      <c r="U453" s="1086">
        <v>0</v>
      </c>
      <c r="V453" s="1086">
        <v>0</v>
      </c>
      <c r="W453" s="1086">
        <v>0</v>
      </c>
      <c r="X453" s="1086">
        <v>0</v>
      </c>
      <c r="Y453" s="1086">
        <v>0</v>
      </c>
      <c r="Z453" s="1086">
        <v>0</v>
      </c>
      <c r="AA453" s="1086">
        <v>0</v>
      </c>
      <c r="AB453" s="1086">
        <v>0</v>
      </c>
      <c r="AC453" s="1086">
        <v>0</v>
      </c>
      <c r="AD453" s="1103" t="s">
        <v>1252</v>
      </c>
      <c r="AE453" s="1086" t="s">
        <v>3879</v>
      </c>
      <c r="AF453" s="1086">
        <f t="shared" si="25"/>
        <v>0</v>
      </c>
      <c r="AG453" s="1086">
        <f t="shared" si="28"/>
        <v>0</v>
      </c>
      <c r="AQ453" s="1086">
        <v>0</v>
      </c>
      <c r="AR453" s="1086">
        <v>0</v>
      </c>
      <c r="AS453" s="1086">
        <v>0</v>
      </c>
      <c r="AT453" s="1086">
        <f t="shared" si="26"/>
        <v>0</v>
      </c>
      <c r="AV453" s="1150">
        <f t="shared" si="27"/>
        <v>0</v>
      </c>
    </row>
    <row r="454" spans="1:48" x14ac:dyDescent="0.2">
      <c r="A454" s="19">
        <v>463</v>
      </c>
      <c r="B454" t="s">
        <v>1755</v>
      </c>
      <c r="C454" t="s">
        <v>2072</v>
      </c>
      <c r="D454" t="s">
        <v>1039</v>
      </c>
      <c r="E454" t="s">
        <v>2208</v>
      </c>
      <c r="F454" t="s">
        <v>2403</v>
      </c>
      <c r="G454" t="s">
        <v>1250</v>
      </c>
      <c r="H454" t="s">
        <v>3822</v>
      </c>
      <c r="I454">
        <v>2248</v>
      </c>
      <c r="J454" t="s">
        <v>3266</v>
      </c>
      <c r="K454">
        <v>5149</v>
      </c>
      <c r="L454" t="s">
        <v>2923</v>
      </c>
      <c r="M454" s="1086">
        <v>313.7</v>
      </c>
      <c r="N454" s="1086">
        <v>376400.99</v>
      </c>
      <c r="O454" s="1086">
        <v>0</v>
      </c>
      <c r="P454" s="1086">
        <v>301613.90000000002</v>
      </c>
      <c r="Q454" s="1086">
        <v>150</v>
      </c>
      <c r="R454" s="1086">
        <v>0</v>
      </c>
      <c r="S454" s="1086">
        <v>914.1</v>
      </c>
      <c r="T454" s="1086">
        <v>55482.46</v>
      </c>
      <c r="U454" s="1086">
        <v>13978.5</v>
      </c>
      <c r="V454" s="1086">
        <v>3797.82</v>
      </c>
      <c r="W454" s="1086">
        <v>0</v>
      </c>
      <c r="X454" s="1086">
        <v>0</v>
      </c>
      <c r="Y454" s="1086">
        <v>0</v>
      </c>
      <c r="Z454" s="1086">
        <v>0</v>
      </c>
      <c r="AA454" s="1086">
        <v>0</v>
      </c>
      <c r="AB454" s="1086">
        <v>0</v>
      </c>
      <c r="AC454" s="1086">
        <v>777.91</v>
      </c>
      <c r="AD454" s="1086" t="s">
        <v>248</v>
      </c>
      <c r="AE454" s="1086" t="s">
        <v>3877</v>
      </c>
      <c r="AF454" s="1086">
        <f t="shared" si="25"/>
        <v>777.90999999997439</v>
      </c>
      <c r="AG454" s="1086">
        <f t="shared" si="28"/>
        <v>2.5579538487363607E-11</v>
      </c>
      <c r="AQ454" s="1086">
        <v>0</v>
      </c>
      <c r="AR454" s="1086">
        <v>0</v>
      </c>
      <c r="AS454" s="1086">
        <v>777.91</v>
      </c>
      <c r="AT454" s="1086">
        <f t="shared" si="26"/>
        <v>0</v>
      </c>
      <c r="AV454" s="1150">
        <f t="shared" si="27"/>
        <v>375936.78</v>
      </c>
    </row>
    <row r="455" spans="1:48" x14ac:dyDescent="0.2">
      <c r="A455" s="19">
        <v>464</v>
      </c>
      <c r="B455" t="s">
        <v>1756</v>
      </c>
      <c r="C455" t="s">
        <v>2072</v>
      </c>
      <c r="D455" t="s">
        <v>1026</v>
      </c>
      <c r="E455" t="s">
        <v>2240</v>
      </c>
      <c r="F455" t="s">
        <v>2434</v>
      </c>
      <c r="G455" t="s">
        <v>1250</v>
      </c>
      <c r="H455" t="s">
        <v>3822</v>
      </c>
      <c r="I455">
        <v>2248</v>
      </c>
      <c r="J455" t="s">
        <v>3357</v>
      </c>
      <c r="K455" t="s">
        <v>3629</v>
      </c>
      <c r="L455" t="s">
        <v>2924</v>
      </c>
      <c r="M455" s="1086">
        <v>32677.599999999999</v>
      </c>
      <c r="N455" s="1086">
        <v>91133.119999999995</v>
      </c>
      <c r="O455" s="1086">
        <v>0</v>
      </c>
      <c r="P455" s="1086">
        <v>2060</v>
      </c>
      <c r="Q455" s="1086">
        <v>0</v>
      </c>
      <c r="R455" s="1086">
        <v>0</v>
      </c>
      <c r="S455" s="1086">
        <v>22702.2</v>
      </c>
      <c r="T455" s="1086">
        <v>445.88</v>
      </c>
      <c r="U455" s="1086">
        <v>88127.4</v>
      </c>
      <c r="V455" s="1086">
        <v>0</v>
      </c>
      <c r="W455" s="1086">
        <v>0</v>
      </c>
      <c r="X455" s="1086">
        <v>0</v>
      </c>
      <c r="Y455" s="1086">
        <v>0</v>
      </c>
      <c r="Z455" s="1086">
        <v>0</v>
      </c>
      <c r="AA455" s="1086">
        <v>0</v>
      </c>
      <c r="AB455" s="1086">
        <v>0</v>
      </c>
      <c r="AC455" s="1086">
        <v>10475.24</v>
      </c>
      <c r="AD455" s="1086" t="s">
        <v>248</v>
      </c>
      <c r="AE455" s="1086" t="s">
        <v>3877</v>
      </c>
      <c r="AF455" s="1086">
        <f t="shared" si="25"/>
        <v>10475.240000000005</v>
      </c>
      <c r="AG455" s="1086">
        <f t="shared" si="28"/>
        <v>0</v>
      </c>
      <c r="AQ455" s="1086">
        <v>0</v>
      </c>
      <c r="AR455" s="1086">
        <v>0</v>
      </c>
      <c r="AS455" s="1086">
        <v>10475.24</v>
      </c>
      <c r="AT455" s="1086">
        <f t="shared" si="26"/>
        <v>0</v>
      </c>
      <c r="AV455" s="1150">
        <f t="shared" si="27"/>
        <v>113335.48</v>
      </c>
    </row>
    <row r="456" spans="1:48" x14ac:dyDescent="0.2">
      <c r="A456" s="19">
        <v>465</v>
      </c>
      <c r="B456" t="s">
        <v>1757</v>
      </c>
      <c r="C456" t="s">
        <v>2072</v>
      </c>
      <c r="D456" t="s">
        <v>1059</v>
      </c>
      <c r="E456" t="s">
        <v>2215</v>
      </c>
      <c r="F456" t="s">
        <v>2410</v>
      </c>
      <c r="G456" t="s">
        <v>1250</v>
      </c>
      <c r="H456" t="s">
        <v>3822</v>
      </c>
      <c r="I456">
        <v>2248</v>
      </c>
      <c r="J456" t="s">
        <v>3257</v>
      </c>
      <c r="K456" t="s">
        <v>3630</v>
      </c>
      <c r="L456" t="s">
        <v>2925</v>
      </c>
      <c r="M456" s="1086">
        <v>5856.51</v>
      </c>
      <c r="N456" s="1086">
        <v>79393.119999999995</v>
      </c>
      <c r="O456" s="1086">
        <v>0</v>
      </c>
      <c r="P456" s="1086">
        <v>73987.62</v>
      </c>
      <c r="Q456" s="1086">
        <v>0</v>
      </c>
      <c r="R456" s="1086">
        <v>0</v>
      </c>
      <c r="S456" s="1086">
        <v>0</v>
      </c>
      <c r="T456" s="1086">
        <v>8234.18</v>
      </c>
      <c r="U456" s="1086">
        <v>0</v>
      </c>
      <c r="V456" s="1086">
        <v>0</v>
      </c>
      <c r="W456" s="1086">
        <v>0</v>
      </c>
      <c r="X456" s="1086">
        <v>0</v>
      </c>
      <c r="Y456" s="1086">
        <v>0</v>
      </c>
      <c r="Z456" s="1086">
        <v>0</v>
      </c>
      <c r="AA456" s="1086">
        <v>0</v>
      </c>
      <c r="AB456" s="1086">
        <v>0</v>
      </c>
      <c r="AC456" s="1086">
        <v>3027.83</v>
      </c>
      <c r="AD456" s="1086" t="s">
        <v>248</v>
      </c>
      <c r="AE456" s="1086" t="s">
        <v>3877</v>
      </c>
      <c r="AF456" s="1086">
        <f t="shared" ref="AF456:AF519" si="29">M456+N456+O456-(SUM(P456:AB456))-AQ456-AR456</f>
        <v>3027.8300000000017</v>
      </c>
      <c r="AG456" s="1086">
        <f t="shared" si="28"/>
        <v>0</v>
      </c>
      <c r="AQ456" s="1086">
        <v>0</v>
      </c>
      <c r="AR456" s="1086">
        <v>0</v>
      </c>
      <c r="AS456" s="1086">
        <v>3027.83</v>
      </c>
      <c r="AT456" s="1086">
        <f t="shared" ref="AT456:AT519" si="30">AC456-AS456</f>
        <v>0</v>
      </c>
      <c r="AV456" s="1150">
        <f t="shared" si="27"/>
        <v>82221.799999999988</v>
      </c>
    </row>
    <row r="457" spans="1:48" x14ac:dyDescent="0.2">
      <c r="A457" s="19">
        <v>466</v>
      </c>
      <c r="B457" t="s">
        <v>1758</v>
      </c>
      <c r="C457" t="s">
        <v>2072</v>
      </c>
      <c r="D457" t="s">
        <v>1026</v>
      </c>
      <c r="E457" t="s">
        <v>2241</v>
      </c>
      <c r="F457" t="s">
        <v>2435</v>
      </c>
      <c r="G457" t="s">
        <v>1250</v>
      </c>
      <c r="H457" t="s">
        <v>3822</v>
      </c>
      <c r="I457">
        <v>2248</v>
      </c>
      <c r="J457" t="s">
        <v>3357</v>
      </c>
      <c r="K457">
        <v>4967</v>
      </c>
      <c r="L457" t="s">
        <v>2926</v>
      </c>
      <c r="M457" s="1086">
        <v>31727.4</v>
      </c>
      <c r="N457" s="1086">
        <v>99594.58</v>
      </c>
      <c r="O457" s="1086">
        <v>0</v>
      </c>
      <c r="P457" s="1086">
        <v>0</v>
      </c>
      <c r="Q457" s="1086">
        <v>0</v>
      </c>
      <c r="R457" s="1086">
        <v>0</v>
      </c>
      <c r="S457" s="1086">
        <v>0</v>
      </c>
      <c r="T457" s="1086">
        <v>0</v>
      </c>
      <c r="U457" s="1086">
        <v>76771.63</v>
      </c>
      <c r="V457" s="1086">
        <v>0</v>
      </c>
      <c r="W457" s="1086">
        <v>0</v>
      </c>
      <c r="X457" s="1086">
        <v>0</v>
      </c>
      <c r="Y457" s="1086">
        <v>0</v>
      </c>
      <c r="Z457" s="1086">
        <v>0</v>
      </c>
      <c r="AA457" s="1086">
        <v>0</v>
      </c>
      <c r="AB457" s="1086">
        <v>0</v>
      </c>
      <c r="AC457" s="1086">
        <v>54210.32</v>
      </c>
      <c r="AD457" s="1086" t="s">
        <v>248</v>
      </c>
      <c r="AE457" s="1086" t="s">
        <v>3877</v>
      </c>
      <c r="AF457" s="1086">
        <f t="shared" si="29"/>
        <v>54210.320000000007</v>
      </c>
      <c r="AG457" s="1086">
        <f t="shared" si="28"/>
        <v>0</v>
      </c>
      <c r="AQ457" s="1086">
        <v>340.03</v>
      </c>
      <c r="AR457" s="1086">
        <v>0</v>
      </c>
      <c r="AS457" s="1086">
        <v>54210.32</v>
      </c>
      <c r="AT457" s="1086">
        <f t="shared" si="30"/>
        <v>0</v>
      </c>
      <c r="AV457" s="1150">
        <f t="shared" ref="AV457:AV520" si="31">SUM(P457:AB457)+AQ457+AR457</f>
        <v>77111.66</v>
      </c>
    </row>
    <row r="458" spans="1:48" x14ac:dyDescent="0.2">
      <c r="A458" s="19">
        <v>467</v>
      </c>
      <c r="B458" t="s">
        <v>1759</v>
      </c>
      <c r="C458" t="s">
        <v>2072</v>
      </c>
      <c r="D458" t="s">
        <v>1005</v>
      </c>
      <c r="E458" t="s">
        <v>2220</v>
      </c>
      <c r="F458" t="s">
        <v>2415</v>
      </c>
      <c r="G458" t="s">
        <v>1250</v>
      </c>
      <c r="H458" t="s">
        <v>3822</v>
      </c>
      <c r="I458">
        <v>2248</v>
      </c>
      <c r="J458" t="s">
        <v>3355</v>
      </c>
      <c r="K458" t="s">
        <v>3631</v>
      </c>
      <c r="L458" t="s">
        <v>2927</v>
      </c>
      <c r="M458" s="1086">
        <v>56966.2</v>
      </c>
      <c r="N458" s="1086">
        <v>45009.91</v>
      </c>
      <c r="O458" s="1086">
        <v>0</v>
      </c>
      <c r="P458" s="1086">
        <v>0</v>
      </c>
      <c r="Q458" s="1086">
        <v>0</v>
      </c>
      <c r="R458" s="1086">
        <v>0</v>
      </c>
      <c r="S458" s="1086">
        <v>0</v>
      </c>
      <c r="T458" s="1086">
        <v>0</v>
      </c>
      <c r="U458" s="1086">
        <v>90743.23</v>
      </c>
      <c r="V458" s="1086">
        <v>0</v>
      </c>
      <c r="W458" s="1086">
        <v>0</v>
      </c>
      <c r="X458" s="1086">
        <v>0</v>
      </c>
      <c r="Y458" s="1086">
        <v>0</v>
      </c>
      <c r="Z458" s="1086">
        <v>0</v>
      </c>
      <c r="AA458" s="1086">
        <v>0</v>
      </c>
      <c r="AB458" s="1086">
        <v>0</v>
      </c>
      <c r="AC458" s="1086">
        <v>11232.88</v>
      </c>
      <c r="AD458" s="1086" t="s">
        <v>248</v>
      </c>
      <c r="AE458" s="1086" t="s">
        <v>3877</v>
      </c>
      <c r="AF458" s="1086">
        <f t="shared" si="29"/>
        <v>11232.880000000005</v>
      </c>
      <c r="AG458" s="1086">
        <f t="shared" si="28"/>
        <v>0</v>
      </c>
      <c r="AQ458" s="1086">
        <v>0</v>
      </c>
      <c r="AR458" s="1086">
        <v>0</v>
      </c>
      <c r="AS458" s="1086">
        <v>11232.88</v>
      </c>
      <c r="AT458" s="1086">
        <f t="shared" si="30"/>
        <v>0</v>
      </c>
      <c r="AV458" s="1150">
        <f t="shared" si="31"/>
        <v>90743.23</v>
      </c>
    </row>
    <row r="459" spans="1:48" x14ac:dyDescent="0.2">
      <c r="A459" s="19">
        <v>469</v>
      </c>
      <c r="B459" t="s">
        <v>1761</v>
      </c>
      <c r="C459" t="s">
        <v>2073</v>
      </c>
      <c r="D459" t="s">
        <v>1028</v>
      </c>
      <c r="E459" t="s">
        <v>2111</v>
      </c>
      <c r="F459" t="s">
        <v>2308</v>
      </c>
      <c r="G459" t="s">
        <v>1250</v>
      </c>
      <c r="H459" t="s">
        <v>3822</v>
      </c>
      <c r="I459">
        <v>2246</v>
      </c>
      <c r="J459" t="s">
        <v>3255</v>
      </c>
      <c r="K459">
        <v>5584</v>
      </c>
      <c r="L459" t="s">
        <v>2929</v>
      </c>
      <c r="M459" s="1086">
        <v>179813.16</v>
      </c>
      <c r="N459" s="1086">
        <v>7248.9500000000007</v>
      </c>
      <c r="O459" s="1086">
        <v>146084.37</v>
      </c>
      <c r="P459" s="1086">
        <v>65076.33</v>
      </c>
      <c r="Q459" s="1086">
        <v>24000</v>
      </c>
      <c r="R459" s="1086">
        <v>0</v>
      </c>
      <c r="S459" s="1086">
        <v>3857</v>
      </c>
      <c r="T459" s="1086">
        <v>27978.16</v>
      </c>
      <c r="U459" s="1086">
        <v>26215.51</v>
      </c>
      <c r="V459" s="1086">
        <v>0</v>
      </c>
      <c r="W459" s="1086">
        <v>1677.27</v>
      </c>
      <c r="X459" s="1086">
        <v>23297.42</v>
      </c>
      <c r="Y459" s="1086">
        <v>0</v>
      </c>
      <c r="Z459" s="1086">
        <v>0</v>
      </c>
      <c r="AA459" s="1086">
        <v>35406.21</v>
      </c>
      <c r="AB459" s="1086">
        <v>0</v>
      </c>
      <c r="AC459" s="1086">
        <v>125638.58</v>
      </c>
      <c r="AD459" s="1086" t="s">
        <v>248</v>
      </c>
      <c r="AE459" s="1086" t="s">
        <v>3877</v>
      </c>
      <c r="AF459" s="1086">
        <f t="shared" si="29"/>
        <v>125638.57999999999</v>
      </c>
      <c r="AG459" s="1086">
        <f t="shared" si="28"/>
        <v>0</v>
      </c>
      <c r="AQ459" s="1086">
        <v>0</v>
      </c>
      <c r="AR459" s="1086">
        <v>0</v>
      </c>
      <c r="AS459" s="1086">
        <v>125638.58</v>
      </c>
      <c r="AT459" s="1086">
        <f t="shared" si="30"/>
        <v>0</v>
      </c>
      <c r="AV459" s="1150">
        <f t="shared" si="31"/>
        <v>207507.9</v>
      </c>
    </row>
    <row r="460" spans="1:48" x14ac:dyDescent="0.2">
      <c r="A460" s="19">
        <v>470</v>
      </c>
      <c r="B460" t="s">
        <v>1762</v>
      </c>
      <c r="C460" t="s">
        <v>2073</v>
      </c>
      <c r="D460" t="s">
        <v>1034</v>
      </c>
      <c r="E460" t="s">
        <v>2126</v>
      </c>
      <c r="F460" t="s">
        <v>2323</v>
      </c>
      <c r="G460" t="s">
        <v>3833</v>
      </c>
      <c r="H460" t="s">
        <v>3825</v>
      </c>
      <c r="I460">
        <v>2246</v>
      </c>
      <c r="J460" t="s">
        <v>3343</v>
      </c>
      <c r="K460" t="s">
        <v>3633</v>
      </c>
      <c r="L460" t="s">
        <v>2930</v>
      </c>
      <c r="M460" s="1086">
        <v>11869.19</v>
      </c>
      <c r="N460" s="1086">
        <v>94210.03</v>
      </c>
      <c r="O460" s="1086">
        <v>0</v>
      </c>
      <c r="P460" s="1086">
        <v>0</v>
      </c>
      <c r="Q460" s="1086">
        <v>0</v>
      </c>
      <c r="R460" s="1086">
        <v>0</v>
      </c>
      <c r="S460" s="1086">
        <v>40853.29</v>
      </c>
      <c r="T460" s="1086">
        <v>668.41</v>
      </c>
      <c r="U460" s="1086">
        <v>53976.99</v>
      </c>
      <c r="V460" s="1086">
        <v>0</v>
      </c>
      <c r="W460" s="1086">
        <v>0</v>
      </c>
      <c r="X460" s="1086">
        <v>0</v>
      </c>
      <c r="Y460" s="1086">
        <v>0</v>
      </c>
      <c r="Z460" s="1086">
        <v>0</v>
      </c>
      <c r="AA460" s="1086">
        <v>3262.5</v>
      </c>
      <c r="AB460" s="1086">
        <v>0</v>
      </c>
      <c r="AC460" s="1086">
        <v>7318.03</v>
      </c>
      <c r="AD460" s="1103" t="s">
        <v>1251</v>
      </c>
      <c r="AE460" s="1086" t="s">
        <v>3880</v>
      </c>
      <c r="AF460" s="1086">
        <f t="shared" si="29"/>
        <v>7318.0299999999988</v>
      </c>
      <c r="AG460" s="1086">
        <f t="shared" si="28"/>
        <v>0</v>
      </c>
      <c r="AQ460" s="1086">
        <v>0</v>
      </c>
      <c r="AR460" s="1086">
        <v>0</v>
      </c>
      <c r="AS460" s="1086">
        <v>7318.03</v>
      </c>
      <c r="AT460" s="1086">
        <f t="shared" si="30"/>
        <v>0</v>
      </c>
      <c r="AV460" s="1150">
        <f t="shared" si="31"/>
        <v>98761.19</v>
      </c>
    </row>
    <row r="461" spans="1:48" x14ac:dyDescent="0.2">
      <c r="A461" s="19">
        <v>471</v>
      </c>
      <c r="B461" t="s">
        <v>1763</v>
      </c>
      <c r="C461" t="s">
        <v>2073</v>
      </c>
      <c r="D461" t="s">
        <v>1034</v>
      </c>
      <c r="E461" t="s">
        <v>2126</v>
      </c>
      <c r="F461" t="s">
        <v>2323</v>
      </c>
      <c r="G461" t="s">
        <v>3833</v>
      </c>
      <c r="H461" t="s">
        <v>3825</v>
      </c>
      <c r="I461">
        <v>2246</v>
      </c>
      <c r="J461" t="s">
        <v>3343</v>
      </c>
      <c r="K461" t="s">
        <v>3634</v>
      </c>
      <c r="L461" t="s">
        <v>2931</v>
      </c>
      <c r="M461" s="1086">
        <v>1455.57</v>
      </c>
      <c r="N461" s="1086">
        <v>45411.93</v>
      </c>
      <c r="O461" s="1086">
        <v>0</v>
      </c>
      <c r="P461" s="1086">
        <v>0</v>
      </c>
      <c r="Q461" s="1086">
        <v>0</v>
      </c>
      <c r="R461" s="1086">
        <v>0</v>
      </c>
      <c r="S461" s="1086">
        <v>0</v>
      </c>
      <c r="T461" s="1086">
        <v>0</v>
      </c>
      <c r="U461" s="1086">
        <v>35648.300000000003</v>
      </c>
      <c r="V461" s="1086">
        <v>2033.62</v>
      </c>
      <c r="W461" s="1086">
        <v>90.64</v>
      </c>
      <c r="X461" s="1086">
        <v>2220.44</v>
      </c>
      <c r="Y461" s="1086">
        <v>0</v>
      </c>
      <c r="Z461" s="1086">
        <v>0</v>
      </c>
      <c r="AA461" s="1086">
        <v>1573.4</v>
      </c>
      <c r="AB461" s="1086">
        <v>0</v>
      </c>
      <c r="AC461" s="1086">
        <v>5301.1</v>
      </c>
      <c r="AD461" s="1103" t="s">
        <v>1251</v>
      </c>
      <c r="AE461" s="1086" t="s">
        <v>3880</v>
      </c>
      <c r="AF461" s="1086">
        <f t="shared" si="29"/>
        <v>5301.0999999999913</v>
      </c>
      <c r="AG461" s="1086">
        <f t="shared" si="28"/>
        <v>9.0949470177292824E-12</v>
      </c>
      <c r="AQ461" s="1086">
        <v>0</v>
      </c>
      <c r="AR461" s="1086">
        <v>0</v>
      </c>
      <c r="AS461" s="1086">
        <v>5301.1</v>
      </c>
      <c r="AT461" s="1086">
        <f t="shared" si="30"/>
        <v>0</v>
      </c>
      <c r="AV461" s="1150">
        <f t="shared" si="31"/>
        <v>41566.400000000009</v>
      </c>
    </row>
    <row r="462" spans="1:48" x14ac:dyDescent="0.2">
      <c r="A462" s="19">
        <v>472</v>
      </c>
      <c r="B462" t="s">
        <v>1764</v>
      </c>
      <c r="C462" t="s">
        <v>2073</v>
      </c>
      <c r="D462" t="s">
        <v>1031</v>
      </c>
      <c r="E462" t="s">
        <v>2138</v>
      </c>
      <c r="F462" t="s">
        <v>2335</v>
      </c>
      <c r="G462" t="s">
        <v>3831</v>
      </c>
      <c r="H462" t="s">
        <v>3822</v>
      </c>
      <c r="I462">
        <v>2246</v>
      </c>
      <c r="J462" t="s">
        <v>3341</v>
      </c>
      <c r="K462" t="s">
        <v>3635</v>
      </c>
      <c r="L462" t="s">
        <v>2932</v>
      </c>
      <c r="M462" s="1086">
        <v>6153873.4299999997</v>
      </c>
      <c r="N462" s="1086">
        <v>4740473.5999999996</v>
      </c>
      <c r="O462" s="1086">
        <v>0</v>
      </c>
      <c r="P462" s="1086">
        <v>42600</v>
      </c>
      <c r="Q462" s="1086">
        <v>0</v>
      </c>
      <c r="R462" s="1086">
        <v>290936.17</v>
      </c>
      <c r="S462" s="1086">
        <v>0</v>
      </c>
      <c r="T462" s="1086">
        <v>113222.7</v>
      </c>
      <c r="U462" s="1086">
        <v>4710883.07</v>
      </c>
      <c r="V462" s="1086">
        <v>0</v>
      </c>
      <c r="W462" s="1086">
        <v>0</v>
      </c>
      <c r="X462" s="1086">
        <v>0</v>
      </c>
      <c r="Y462" s="1086">
        <v>0</v>
      </c>
      <c r="Z462" s="1086">
        <v>0</v>
      </c>
      <c r="AA462" s="1086">
        <v>1174846.1200000001</v>
      </c>
      <c r="AB462" s="1086">
        <v>0</v>
      </c>
      <c r="AC462" s="1086">
        <v>4561858.97</v>
      </c>
      <c r="AD462" s="1103" t="s">
        <v>1252</v>
      </c>
      <c r="AE462" s="1086" t="s">
        <v>3879</v>
      </c>
      <c r="AF462" s="1086">
        <f t="shared" si="29"/>
        <v>4561858.9699999988</v>
      </c>
      <c r="AG462" s="1086">
        <f t="shared" si="28"/>
        <v>0</v>
      </c>
      <c r="AQ462" s="1086">
        <v>0</v>
      </c>
      <c r="AR462" s="1086">
        <v>0</v>
      </c>
      <c r="AS462" s="1086">
        <v>4561858.9700000007</v>
      </c>
      <c r="AT462" s="1086">
        <f t="shared" si="30"/>
        <v>0</v>
      </c>
      <c r="AV462" s="1150">
        <f t="shared" si="31"/>
        <v>6332488.0600000005</v>
      </c>
    </row>
    <row r="463" spans="1:48" x14ac:dyDescent="0.2">
      <c r="A463" s="19">
        <v>473</v>
      </c>
      <c r="B463" t="s">
        <v>1765</v>
      </c>
      <c r="C463" t="s">
        <v>2073</v>
      </c>
      <c r="D463" t="s">
        <v>1031</v>
      </c>
      <c r="E463" t="s">
        <v>2138</v>
      </c>
      <c r="F463" t="s">
        <v>2335</v>
      </c>
      <c r="G463" t="s">
        <v>3831</v>
      </c>
      <c r="H463" t="s">
        <v>3825</v>
      </c>
      <c r="I463">
        <v>2246</v>
      </c>
      <c r="J463" t="s">
        <v>3341</v>
      </c>
      <c r="K463" t="s">
        <v>3636</v>
      </c>
      <c r="L463" t="s">
        <v>2933</v>
      </c>
      <c r="M463" s="1086">
        <v>112955.54</v>
      </c>
      <c r="N463" s="1086">
        <v>60263.67</v>
      </c>
      <c r="O463" s="1086">
        <v>0</v>
      </c>
      <c r="P463" s="1086">
        <v>0</v>
      </c>
      <c r="Q463" s="1086">
        <v>0</v>
      </c>
      <c r="R463" s="1086">
        <v>0</v>
      </c>
      <c r="S463" s="1086">
        <v>0</v>
      </c>
      <c r="T463" s="1086">
        <v>0</v>
      </c>
      <c r="U463" s="1086">
        <v>24009.09</v>
      </c>
      <c r="V463" s="1086">
        <v>0</v>
      </c>
      <c r="W463" s="1086">
        <v>24360.19</v>
      </c>
      <c r="X463" s="1086">
        <v>26795.43</v>
      </c>
      <c r="Y463" s="1086">
        <v>0</v>
      </c>
      <c r="Z463" s="1086">
        <v>0</v>
      </c>
      <c r="AA463" s="1086">
        <v>96345.66</v>
      </c>
      <c r="AB463" s="1086">
        <v>0</v>
      </c>
      <c r="AC463" s="1086">
        <v>1708.84</v>
      </c>
      <c r="AD463" s="1103" t="s">
        <v>1252</v>
      </c>
      <c r="AE463" s="1086" t="s">
        <v>3879</v>
      </c>
      <c r="AF463" s="1086">
        <f t="shared" si="29"/>
        <v>1708.8399999999965</v>
      </c>
      <c r="AG463" s="1086">
        <f t="shared" si="28"/>
        <v>3.4106051316484809E-12</v>
      </c>
      <c r="AQ463" s="1086">
        <v>0</v>
      </c>
      <c r="AR463" s="1086">
        <v>0</v>
      </c>
      <c r="AS463" s="1086">
        <v>1708.84</v>
      </c>
      <c r="AT463" s="1086">
        <f t="shared" si="30"/>
        <v>0</v>
      </c>
      <c r="AV463" s="1150">
        <f t="shared" si="31"/>
        <v>171510.37</v>
      </c>
    </row>
    <row r="464" spans="1:48" x14ac:dyDescent="0.2">
      <c r="A464" s="19">
        <v>475</v>
      </c>
      <c r="B464" t="s">
        <v>1766</v>
      </c>
      <c r="C464" t="s">
        <v>2073</v>
      </c>
      <c r="D464" t="s">
        <v>1055</v>
      </c>
      <c r="E464" t="s">
        <v>2154</v>
      </c>
      <c r="F464" t="s">
        <v>2351</v>
      </c>
      <c r="G464" t="s">
        <v>3832</v>
      </c>
      <c r="H464" t="s">
        <v>3825</v>
      </c>
      <c r="I464">
        <v>2246</v>
      </c>
      <c r="J464" t="s">
        <v>3401</v>
      </c>
      <c r="K464" t="s">
        <v>3637</v>
      </c>
      <c r="L464" t="s">
        <v>2934</v>
      </c>
      <c r="M464" s="1086">
        <v>101551.93</v>
      </c>
      <c r="N464" s="1086">
        <v>415920</v>
      </c>
      <c r="O464" s="1086">
        <v>0</v>
      </c>
      <c r="P464" s="1086">
        <v>2155.16</v>
      </c>
      <c r="Q464" s="1086">
        <v>0</v>
      </c>
      <c r="R464" s="1086">
        <v>15800.17</v>
      </c>
      <c r="S464" s="1086">
        <v>430.8</v>
      </c>
      <c r="T464" s="1086">
        <v>8124.66</v>
      </c>
      <c r="U464" s="1086">
        <v>88411.8</v>
      </c>
      <c r="V464" s="1086">
        <v>0</v>
      </c>
      <c r="W464" s="1086">
        <v>12600.54</v>
      </c>
      <c r="X464" s="1086">
        <v>6527.75</v>
      </c>
      <c r="Y464" s="1086">
        <v>0</v>
      </c>
      <c r="Z464" s="1086">
        <v>0</v>
      </c>
      <c r="AA464" s="1086">
        <v>14557.2</v>
      </c>
      <c r="AB464" s="1086">
        <v>0</v>
      </c>
      <c r="AC464" s="1086">
        <v>368863.85</v>
      </c>
      <c r="AD464" s="1103" t="s">
        <v>1253</v>
      </c>
      <c r="AE464" s="1086" t="s">
        <v>3881</v>
      </c>
      <c r="AF464" s="1086">
        <f t="shared" si="29"/>
        <v>368863.85</v>
      </c>
      <c r="AG464" s="1086">
        <f t="shared" si="28"/>
        <v>0</v>
      </c>
      <c r="AQ464" s="1086">
        <v>0</v>
      </c>
      <c r="AR464" s="1086">
        <v>0</v>
      </c>
      <c r="AS464" s="1086">
        <v>368863.85</v>
      </c>
      <c r="AT464" s="1086">
        <f t="shared" si="30"/>
        <v>0</v>
      </c>
      <c r="AV464" s="1150">
        <f t="shared" si="31"/>
        <v>148608.08000000002</v>
      </c>
    </row>
    <row r="465" spans="1:48" x14ac:dyDescent="0.2">
      <c r="A465" s="19">
        <v>476</v>
      </c>
      <c r="B465" t="s">
        <v>1767</v>
      </c>
      <c r="C465" t="s">
        <v>2073</v>
      </c>
      <c r="D465" t="s">
        <v>1055</v>
      </c>
      <c r="E465" t="s">
        <v>2154</v>
      </c>
      <c r="F465" t="s">
        <v>2351</v>
      </c>
      <c r="G465" t="s">
        <v>3832</v>
      </c>
      <c r="H465" t="s">
        <v>3825</v>
      </c>
      <c r="I465">
        <v>2246</v>
      </c>
      <c r="J465" t="s">
        <v>3401</v>
      </c>
      <c r="K465" t="s">
        <v>3638</v>
      </c>
      <c r="L465" t="s">
        <v>2935</v>
      </c>
      <c r="M465" s="1086">
        <v>21458.69</v>
      </c>
      <c r="N465" s="1086">
        <v>50944</v>
      </c>
      <c r="O465" s="1086">
        <v>0</v>
      </c>
      <c r="P465" s="1086">
        <v>0</v>
      </c>
      <c r="Q465" s="1086">
        <v>0</v>
      </c>
      <c r="R465" s="1086">
        <v>0</v>
      </c>
      <c r="S465" s="1086">
        <v>0</v>
      </c>
      <c r="T465" s="1086">
        <v>0</v>
      </c>
      <c r="U465" s="1086">
        <v>23467.53</v>
      </c>
      <c r="V465" s="1086">
        <v>0</v>
      </c>
      <c r="W465" s="1086">
        <v>0</v>
      </c>
      <c r="X465" s="1086">
        <v>0</v>
      </c>
      <c r="Y465" s="1086">
        <v>0</v>
      </c>
      <c r="Z465" s="1086">
        <v>0</v>
      </c>
      <c r="AA465" s="1086">
        <v>1783.04</v>
      </c>
      <c r="AB465" s="1086">
        <v>0</v>
      </c>
      <c r="AC465" s="1086">
        <v>47152.12</v>
      </c>
      <c r="AD465" s="1103" t="s">
        <v>1253</v>
      </c>
      <c r="AE465" s="1086" t="s">
        <v>3881</v>
      </c>
      <c r="AF465" s="1086">
        <f t="shared" si="29"/>
        <v>47152.12</v>
      </c>
      <c r="AG465" s="1086">
        <f t="shared" si="28"/>
        <v>0</v>
      </c>
      <c r="AQ465" s="1086">
        <v>0</v>
      </c>
      <c r="AR465" s="1086">
        <v>0</v>
      </c>
      <c r="AS465" s="1086">
        <v>47152.12</v>
      </c>
      <c r="AT465" s="1086">
        <f t="shared" si="30"/>
        <v>0</v>
      </c>
      <c r="AV465" s="1150">
        <f t="shared" si="31"/>
        <v>25250.57</v>
      </c>
    </row>
    <row r="466" spans="1:48" x14ac:dyDescent="0.2">
      <c r="A466" s="19">
        <v>477</v>
      </c>
      <c r="B466" t="s">
        <v>1768</v>
      </c>
      <c r="C466" t="s">
        <v>2073</v>
      </c>
      <c r="D466" t="s">
        <v>1043</v>
      </c>
      <c r="E466" t="s">
        <v>2159</v>
      </c>
      <c r="F466" t="s">
        <v>2356</v>
      </c>
      <c r="G466" t="s">
        <v>1250</v>
      </c>
      <c r="H466" t="s">
        <v>3822</v>
      </c>
      <c r="I466">
        <v>2246</v>
      </c>
      <c r="J466" t="s">
        <v>3639</v>
      </c>
      <c r="K466">
        <v>4271</v>
      </c>
      <c r="L466" t="s">
        <v>2936</v>
      </c>
      <c r="M466" s="1086">
        <v>4418511.9000000004</v>
      </c>
      <c r="N466" s="1086">
        <v>5368573.92</v>
      </c>
      <c r="O466" s="1086">
        <v>0</v>
      </c>
      <c r="P466" s="1086">
        <v>2694038.14</v>
      </c>
      <c r="Q466" s="1086">
        <v>4444.38</v>
      </c>
      <c r="R466" s="1086">
        <v>61813.66</v>
      </c>
      <c r="S466" s="1086">
        <v>58125.5</v>
      </c>
      <c r="T466" s="1086">
        <v>689776.21</v>
      </c>
      <c r="U466" s="1086">
        <v>277077.75</v>
      </c>
      <c r="V466" s="1086">
        <v>0</v>
      </c>
      <c r="W466" s="1086">
        <v>0</v>
      </c>
      <c r="X466" s="1086">
        <v>19214.09</v>
      </c>
      <c r="Y466" s="1086">
        <v>0</v>
      </c>
      <c r="Z466" s="1086">
        <v>0</v>
      </c>
      <c r="AA466" s="1086">
        <v>1488738.61</v>
      </c>
      <c r="AB466" s="1086">
        <v>0</v>
      </c>
      <c r="AC466" s="1086">
        <v>4493857.4800000004</v>
      </c>
      <c r="AD466" s="1086" t="s">
        <v>248</v>
      </c>
      <c r="AE466" s="1086" t="s">
        <v>3877</v>
      </c>
      <c r="AF466" s="1086">
        <f t="shared" si="29"/>
        <v>4493857.4800000004</v>
      </c>
      <c r="AG466" s="1086">
        <f t="shared" si="28"/>
        <v>0</v>
      </c>
      <c r="AQ466" s="1086">
        <v>0</v>
      </c>
      <c r="AR466" s="1086">
        <v>0</v>
      </c>
      <c r="AS466" s="1086">
        <v>4493857.4799999995</v>
      </c>
      <c r="AT466" s="1086">
        <f t="shared" si="30"/>
        <v>0</v>
      </c>
      <c r="AV466" s="1150">
        <f t="shared" si="31"/>
        <v>5293228.34</v>
      </c>
    </row>
    <row r="467" spans="1:48" x14ac:dyDescent="0.2">
      <c r="A467" s="19">
        <v>478</v>
      </c>
      <c r="B467" t="s">
        <v>1769</v>
      </c>
      <c r="C467" t="s">
        <v>2073</v>
      </c>
      <c r="D467" t="s">
        <v>1041</v>
      </c>
      <c r="E467" t="s">
        <v>2248</v>
      </c>
      <c r="F467" t="s">
        <v>2442</v>
      </c>
      <c r="G467" t="s">
        <v>1250</v>
      </c>
      <c r="H467" t="s">
        <v>3822</v>
      </c>
      <c r="I467">
        <v>2246</v>
      </c>
      <c r="J467" t="s">
        <v>3255</v>
      </c>
      <c r="K467" t="s">
        <v>3640</v>
      </c>
      <c r="L467" t="s">
        <v>2937</v>
      </c>
      <c r="M467" s="1086">
        <v>27331.75</v>
      </c>
      <c r="N467" s="1086">
        <v>113887.53</v>
      </c>
      <c r="O467" s="1086">
        <v>33423.660000000003</v>
      </c>
      <c r="P467" s="1086">
        <v>0</v>
      </c>
      <c r="Q467" s="1086">
        <v>0</v>
      </c>
      <c r="R467" s="1086">
        <v>0</v>
      </c>
      <c r="S467" s="1086">
        <v>0</v>
      </c>
      <c r="T467" s="1086">
        <v>0</v>
      </c>
      <c r="U467" s="1086">
        <v>24000.720000000001</v>
      </c>
      <c r="V467" s="1086">
        <v>0</v>
      </c>
      <c r="W467" s="1086">
        <v>0</v>
      </c>
      <c r="X467" s="1086">
        <v>703.81</v>
      </c>
      <c r="Y467" s="1086">
        <v>0</v>
      </c>
      <c r="Z467" s="1086">
        <v>0</v>
      </c>
      <c r="AA467" s="1086">
        <v>3695.85</v>
      </c>
      <c r="AB467" s="1086">
        <v>0</v>
      </c>
      <c r="AC467" s="1086">
        <v>146242.56</v>
      </c>
      <c r="AD467" s="1086" t="s">
        <v>248</v>
      </c>
      <c r="AE467" s="1086" t="s">
        <v>3877</v>
      </c>
      <c r="AF467" s="1086">
        <f t="shared" si="29"/>
        <v>146242.56</v>
      </c>
      <c r="AG467" s="1086">
        <f t="shared" si="28"/>
        <v>0</v>
      </c>
      <c r="AQ467" s="1086">
        <v>0</v>
      </c>
      <c r="AR467" s="1086">
        <v>0</v>
      </c>
      <c r="AS467" s="1086">
        <v>146242.56</v>
      </c>
      <c r="AT467" s="1086">
        <f t="shared" si="30"/>
        <v>0</v>
      </c>
      <c r="AV467" s="1150">
        <f t="shared" si="31"/>
        <v>28400.38</v>
      </c>
    </row>
    <row r="468" spans="1:48" x14ac:dyDescent="0.2">
      <c r="A468" s="19">
        <v>479</v>
      </c>
      <c r="B468" t="s">
        <v>1770</v>
      </c>
      <c r="C468" t="s">
        <v>2073</v>
      </c>
      <c r="D468" t="s">
        <v>1030</v>
      </c>
      <c r="E468" t="s">
        <v>2252</v>
      </c>
      <c r="F468" t="s">
        <v>2446</v>
      </c>
      <c r="G468" t="s">
        <v>1257</v>
      </c>
      <c r="H468" t="s">
        <v>3826</v>
      </c>
      <c r="I468">
        <v>2246</v>
      </c>
      <c r="J468" t="s">
        <v>3641</v>
      </c>
      <c r="K468">
        <v>2985</v>
      </c>
      <c r="L468" t="s">
        <v>2938</v>
      </c>
      <c r="M468" s="1086">
        <v>269543.03999999998</v>
      </c>
      <c r="N468" s="1086">
        <v>320126.08000000002</v>
      </c>
      <c r="O468" s="1086">
        <v>0</v>
      </c>
      <c r="P468" s="1086">
        <v>97883.6</v>
      </c>
      <c r="Q468" s="1086">
        <v>0</v>
      </c>
      <c r="R468" s="1086">
        <v>52822.19</v>
      </c>
      <c r="S468" s="1086">
        <v>1925.1</v>
      </c>
      <c r="T468" s="1086">
        <v>59785.440000000002</v>
      </c>
      <c r="U468" s="1086">
        <v>31166.79</v>
      </c>
      <c r="V468" s="1086">
        <v>0</v>
      </c>
      <c r="W468" s="1086">
        <v>0</v>
      </c>
      <c r="X468" s="1086">
        <v>1937.15</v>
      </c>
      <c r="Y468" s="1086">
        <v>0</v>
      </c>
      <c r="Z468" s="1086">
        <v>0</v>
      </c>
      <c r="AA468" s="1086">
        <v>13778.07</v>
      </c>
      <c r="AB468" s="1086">
        <v>0</v>
      </c>
      <c r="AC468" s="1086">
        <v>330370.78000000003</v>
      </c>
      <c r="AD468" s="1086" t="s">
        <v>248</v>
      </c>
      <c r="AE468" s="1086" t="s">
        <v>3877</v>
      </c>
      <c r="AF468" s="1086">
        <f t="shared" si="29"/>
        <v>330370.77999999997</v>
      </c>
      <c r="AG468" s="1086">
        <f t="shared" si="28"/>
        <v>0</v>
      </c>
      <c r="AQ468" s="1086">
        <v>0</v>
      </c>
      <c r="AR468" s="1086">
        <v>0</v>
      </c>
      <c r="AS468" s="1086">
        <v>330370.78000000003</v>
      </c>
      <c r="AT468" s="1086">
        <f t="shared" si="30"/>
        <v>0</v>
      </c>
      <c r="AV468" s="1150">
        <f t="shared" si="31"/>
        <v>259298.34000000003</v>
      </c>
    </row>
    <row r="469" spans="1:48" x14ac:dyDescent="0.2">
      <c r="A469" s="19">
        <v>480</v>
      </c>
      <c r="B469" t="s">
        <v>1771</v>
      </c>
      <c r="C469" t="s">
        <v>2073</v>
      </c>
      <c r="D469" t="s">
        <v>1045</v>
      </c>
      <c r="E469" t="s">
        <v>2176</v>
      </c>
      <c r="F469" t="s">
        <v>2372</v>
      </c>
      <c r="G469" t="s">
        <v>1250</v>
      </c>
      <c r="H469" t="s">
        <v>3822</v>
      </c>
      <c r="I469">
        <v>2246</v>
      </c>
      <c r="J469" t="s">
        <v>3622</v>
      </c>
      <c r="K469">
        <v>8133</v>
      </c>
      <c r="L469" t="s">
        <v>2939</v>
      </c>
      <c r="M469" s="1086">
        <v>107913.8</v>
      </c>
      <c r="N469" s="1086">
        <v>31099</v>
      </c>
      <c r="O469" s="1086">
        <v>72000</v>
      </c>
      <c r="P469" s="1086">
        <v>235025.65</v>
      </c>
      <c r="Q469" s="1086">
        <v>0</v>
      </c>
      <c r="R469" s="1086">
        <v>0</v>
      </c>
      <c r="S469" s="1086">
        <v>0</v>
      </c>
      <c r="T469" s="1086">
        <v>57610.75</v>
      </c>
      <c r="U469" s="1086">
        <v>227.11</v>
      </c>
      <c r="V469" s="1086">
        <v>0</v>
      </c>
      <c r="W469" s="1086">
        <v>0</v>
      </c>
      <c r="X469" s="1086">
        <v>0</v>
      </c>
      <c r="Y469" s="1086">
        <v>-181942</v>
      </c>
      <c r="Z469" s="1086">
        <v>0</v>
      </c>
      <c r="AA469" s="1086">
        <v>1498.67</v>
      </c>
      <c r="AB469" s="1086">
        <v>0</v>
      </c>
      <c r="AC469" s="1086">
        <v>98592.62</v>
      </c>
      <c r="AD469" s="1103" t="s">
        <v>609</v>
      </c>
      <c r="AE469" s="1086" t="s">
        <v>3882</v>
      </c>
      <c r="AF469" s="1086">
        <f t="shared" si="29"/>
        <v>98592.619999999981</v>
      </c>
      <c r="AG469" s="1086">
        <f t="shared" si="28"/>
        <v>0</v>
      </c>
      <c r="AQ469" s="1086">
        <v>0</v>
      </c>
      <c r="AR469" s="1086">
        <v>0</v>
      </c>
      <c r="AS469" s="1086">
        <v>98592.62</v>
      </c>
      <c r="AT469" s="1086">
        <f t="shared" si="30"/>
        <v>0</v>
      </c>
      <c r="AV469" s="1150">
        <f t="shared" si="31"/>
        <v>112420.18000000001</v>
      </c>
    </row>
    <row r="470" spans="1:48" x14ac:dyDescent="0.2">
      <c r="A470" s="19">
        <v>481</v>
      </c>
      <c r="B470" t="s">
        <v>1760</v>
      </c>
      <c r="C470" t="s">
        <v>2073</v>
      </c>
      <c r="D470" t="s">
        <v>1040</v>
      </c>
      <c r="E470" t="s">
        <v>2253</v>
      </c>
      <c r="F470" t="s">
        <v>2447</v>
      </c>
      <c r="G470" t="s">
        <v>1257</v>
      </c>
      <c r="H470" t="s">
        <v>3826</v>
      </c>
      <c r="I470">
        <v>2246</v>
      </c>
      <c r="J470" t="s">
        <v>3632</v>
      </c>
      <c r="K470">
        <v>3013</v>
      </c>
      <c r="L470" t="s">
        <v>2928</v>
      </c>
      <c r="M470" s="1086">
        <v>134041.79</v>
      </c>
      <c r="N470" s="1086">
        <v>332361.62</v>
      </c>
      <c r="O470" s="1086">
        <v>0</v>
      </c>
      <c r="P470" s="1086">
        <v>243137</v>
      </c>
      <c r="Q470" s="1086">
        <v>24375</v>
      </c>
      <c r="R470" s="1086">
        <v>0</v>
      </c>
      <c r="S470" s="1086">
        <v>16603.7</v>
      </c>
      <c r="T470" s="1086">
        <v>83901.33</v>
      </c>
      <c r="U470" s="1086">
        <v>72502.61</v>
      </c>
      <c r="V470" s="1086">
        <v>0</v>
      </c>
      <c r="W470" s="1086">
        <v>156.51</v>
      </c>
      <c r="X470" s="1086">
        <v>8219.92</v>
      </c>
      <c r="Y470" s="1086">
        <v>0</v>
      </c>
      <c r="Z470" s="1086">
        <v>0</v>
      </c>
      <c r="AA470" s="1086">
        <v>11432</v>
      </c>
      <c r="AB470" s="1086">
        <v>0</v>
      </c>
      <c r="AC470" s="1086">
        <v>6075.34</v>
      </c>
      <c r="AD470" s="1086" t="s">
        <v>248</v>
      </c>
      <c r="AE470" s="1086" t="s">
        <v>3877</v>
      </c>
      <c r="AF470" s="1086">
        <f t="shared" si="29"/>
        <v>6075.3400000000256</v>
      </c>
      <c r="AG470" s="1086">
        <f t="shared" si="28"/>
        <v>-2.5465851649641991E-11</v>
      </c>
      <c r="AQ470" s="1086">
        <v>0</v>
      </c>
      <c r="AR470" s="1086">
        <v>0</v>
      </c>
      <c r="AS470" s="1086">
        <v>6075.34</v>
      </c>
      <c r="AT470" s="1086">
        <f t="shared" si="30"/>
        <v>0</v>
      </c>
      <c r="AV470" s="1150">
        <f t="shared" si="31"/>
        <v>460328.07</v>
      </c>
    </row>
    <row r="471" spans="1:48" x14ac:dyDescent="0.2">
      <c r="A471" s="19">
        <v>482</v>
      </c>
      <c r="B471" t="s">
        <v>1772</v>
      </c>
      <c r="C471" t="s">
        <v>2073</v>
      </c>
      <c r="D471" t="s">
        <v>1061</v>
      </c>
      <c r="E471" t="s">
        <v>2254</v>
      </c>
      <c r="F471" t="s">
        <v>2448</v>
      </c>
      <c r="G471" t="s">
        <v>1259</v>
      </c>
      <c r="H471" t="s">
        <v>3826</v>
      </c>
      <c r="I471">
        <v>2246</v>
      </c>
      <c r="J471" t="s">
        <v>3622</v>
      </c>
      <c r="K471">
        <v>8132</v>
      </c>
      <c r="L471" t="s">
        <v>2940</v>
      </c>
      <c r="M471" s="1086">
        <v>2366799.5099999998</v>
      </c>
      <c r="N471" s="1086">
        <v>2242229.75</v>
      </c>
      <c r="O471" s="1086">
        <v>0</v>
      </c>
      <c r="P471" s="1086">
        <v>1408804.25</v>
      </c>
      <c r="Q471" s="1086">
        <v>0</v>
      </c>
      <c r="R471" s="1086">
        <v>0</v>
      </c>
      <c r="S471" s="1086">
        <v>0</v>
      </c>
      <c r="T471" s="1086">
        <v>421322.74</v>
      </c>
      <c r="U471" s="1086">
        <v>524649.55000000005</v>
      </c>
      <c r="V471" s="1086">
        <v>0</v>
      </c>
      <c r="W471" s="1086">
        <v>0</v>
      </c>
      <c r="X471" s="1086">
        <v>7819.43</v>
      </c>
      <c r="Y471" s="1086">
        <v>0</v>
      </c>
      <c r="Z471" s="1086">
        <v>0</v>
      </c>
      <c r="AA471" s="1086">
        <v>77450.98</v>
      </c>
      <c r="AB471" s="1086">
        <v>0</v>
      </c>
      <c r="AC471" s="1086">
        <v>2168982.31</v>
      </c>
      <c r="AD471" s="1086" t="s">
        <v>609</v>
      </c>
      <c r="AE471" s="1086" t="s">
        <v>3877</v>
      </c>
      <c r="AF471" s="1086">
        <f t="shared" si="29"/>
        <v>2168982.3099999996</v>
      </c>
      <c r="AG471" s="1086">
        <f t="shared" si="28"/>
        <v>0</v>
      </c>
      <c r="AQ471" s="1086">
        <v>0</v>
      </c>
      <c r="AR471" s="1086">
        <v>0</v>
      </c>
      <c r="AS471" s="1086">
        <v>2168982.31</v>
      </c>
      <c r="AT471" s="1086">
        <f t="shared" si="30"/>
        <v>0</v>
      </c>
      <c r="AV471" s="1150">
        <f t="shared" si="31"/>
        <v>2440046.9500000002</v>
      </c>
    </row>
    <row r="472" spans="1:48" x14ac:dyDescent="0.2">
      <c r="A472" s="19">
        <v>483</v>
      </c>
      <c r="B472" t="s">
        <v>1773</v>
      </c>
      <c r="C472" t="s">
        <v>2073</v>
      </c>
      <c r="D472" t="s">
        <v>1032</v>
      </c>
      <c r="E472" t="s">
        <v>2255</v>
      </c>
      <c r="F472" t="s">
        <v>2449</v>
      </c>
      <c r="G472" t="s">
        <v>1250</v>
      </c>
      <c r="H472" t="s">
        <v>3825</v>
      </c>
      <c r="I472">
        <v>2246</v>
      </c>
      <c r="J472" t="s">
        <v>3332</v>
      </c>
      <c r="K472" t="s">
        <v>3642</v>
      </c>
      <c r="L472" t="s">
        <v>2941</v>
      </c>
      <c r="M472" s="1086">
        <v>935003.35</v>
      </c>
      <c r="N472" s="1086">
        <v>5681973.5600000005</v>
      </c>
      <c r="O472" s="1086">
        <v>0</v>
      </c>
      <c r="P472" s="1086">
        <v>55792.480000000003</v>
      </c>
      <c r="Q472" s="1086">
        <v>0</v>
      </c>
      <c r="R472" s="1086">
        <v>453527.66</v>
      </c>
      <c r="S472" s="1086">
        <v>722448.69</v>
      </c>
      <c r="T472" s="1086">
        <v>251268.74</v>
      </c>
      <c r="U472" s="1086">
        <v>3371676.59</v>
      </c>
      <c r="V472" s="1086">
        <v>0</v>
      </c>
      <c r="W472" s="1086">
        <v>0</v>
      </c>
      <c r="X472" s="1086">
        <v>0</v>
      </c>
      <c r="Y472" s="1086">
        <v>0</v>
      </c>
      <c r="Z472" s="1086">
        <v>0</v>
      </c>
      <c r="AA472" s="1086">
        <v>546302.56000000006</v>
      </c>
      <c r="AB472" s="1086">
        <v>0</v>
      </c>
      <c r="AC472" s="1086">
        <v>1215960.19</v>
      </c>
      <c r="AD472" s="1086" t="s">
        <v>248</v>
      </c>
      <c r="AE472" s="1086" t="s">
        <v>3877</v>
      </c>
      <c r="AF472" s="1086">
        <f t="shared" si="29"/>
        <v>1215960.1899999995</v>
      </c>
      <c r="AG472" s="1086">
        <f t="shared" si="28"/>
        <v>0</v>
      </c>
      <c r="AQ472" s="1086">
        <v>0</v>
      </c>
      <c r="AR472" s="1086">
        <v>0</v>
      </c>
      <c r="AS472" s="1086">
        <v>1215960.19</v>
      </c>
      <c r="AT472" s="1086">
        <f t="shared" si="30"/>
        <v>0</v>
      </c>
      <c r="AV472" s="1150">
        <f t="shared" si="31"/>
        <v>5401016.7200000007</v>
      </c>
    </row>
    <row r="473" spans="1:48" x14ac:dyDescent="0.2">
      <c r="A473" s="19">
        <v>484</v>
      </c>
      <c r="B473" t="s">
        <v>1774</v>
      </c>
      <c r="C473" t="s">
        <v>2073</v>
      </c>
      <c r="D473" t="s">
        <v>1055</v>
      </c>
      <c r="E473" t="s">
        <v>2190</v>
      </c>
      <c r="F473" t="s">
        <v>2385</v>
      </c>
      <c r="G473" t="s">
        <v>3832</v>
      </c>
      <c r="H473" t="s">
        <v>3822</v>
      </c>
      <c r="I473" t="s">
        <v>3844</v>
      </c>
      <c r="J473" t="s">
        <v>3401</v>
      </c>
      <c r="K473" t="s">
        <v>3643</v>
      </c>
      <c r="L473" t="s">
        <v>2942</v>
      </c>
      <c r="M473" s="1086">
        <v>62488.5</v>
      </c>
      <c r="N473" s="1086">
        <v>240000</v>
      </c>
      <c r="O473" s="1086">
        <v>0</v>
      </c>
      <c r="P473" s="1086">
        <v>0</v>
      </c>
      <c r="Q473" s="1086">
        <v>0</v>
      </c>
      <c r="R473" s="1086">
        <v>0</v>
      </c>
      <c r="S473" s="1086">
        <v>0</v>
      </c>
      <c r="T473" s="1086">
        <v>0</v>
      </c>
      <c r="U473" s="1086">
        <v>240213.5</v>
      </c>
      <c r="V473" s="1086">
        <v>0</v>
      </c>
      <c r="W473" s="1086">
        <v>0</v>
      </c>
      <c r="X473" s="1086">
        <v>0</v>
      </c>
      <c r="Y473" s="1086">
        <v>0</v>
      </c>
      <c r="Z473" s="1086">
        <v>0</v>
      </c>
      <c r="AA473" s="1086">
        <v>8400</v>
      </c>
      <c r="AB473" s="1086">
        <v>0</v>
      </c>
      <c r="AC473" s="1086">
        <v>53875</v>
      </c>
      <c r="AD473" s="1103" t="s">
        <v>1253</v>
      </c>
      <c r="AE473" s="1086" t="s">
        <v>3881</v>
      </c>
      <c r="AF473" s="1086">
        <f t="shared" si="29"/>
        <v>53875</v>
      </c>
      <c r="AG473" s="1086">
        <f t="shared" si="28"/>
        <v>0</v>
      </c>
      <c r="AQ473" s="1086">
        <v>0</v>
      </c>
      <c r="AR473" s="1086">
        <v>0</v>
      </c>
      <c r="AS473" s="1086">
        <v>53875</v>
      </c>
      <c r="AT473" s="1086">
        <f t="shared" si="30"/>
        <v>0</v>
      </c>
      <c r="AV473" s="1150">
        <f t="shared" si="31"/>
        <v>248613.5</v>
      </c>
    </row>
    <row r="474" spans="1:48" x14ac:dyDescent="0.2">
      <c r="A474" s="19">
        <v>485</v>
      </c>
      <c r="B474" t="s">
        <v>1775</v>
      </c>
      <c r="C474" t="s">
        <v>2073</v>
      </c>
      <c r="D474" t="s">
        <v>1055</v>
      </c>
      <c r="E474" t="s">
        <v>2190</v>
      </c>
      <c r="F474" t="s">
        <v>2385</v>
      </c>
      <c r="G474" t="s">
        <v>3832</v>
      </c>
      <c r="H474" t="s">
        <v>3822</v>
      </c>
      <c r="I474">
        <v>0</v>
      </c>
      <c r="L474" t="s">
        <v>2943</v>
      </c>
      <c r="M474" s="1086">
        <v>7736.4</v>
      </c>
      <c r="N474" s="1086">
        <v>76800</v>
      </c>
      <c r="O474" s="1086">
        <v>0</v>
      </c>
      <c r="P474" s="1086">
        <v>0</v>
      </c>
      <c r="Q474" s="1086">
        <v>0</v>
      </c>
      <c r="R474" s="1086">
        <v>0</v>
      </c>
      <c r="S474" s="1086">
        <v>0</v>
      </c>
      <c r="T474" s="1086">
        <v>0</v>
      </c>
      <c r="U474" s="1086">
        <v>33582</v>
      </c>
      <c r="V474" s="1086">
        <v>0</v>
      </c>
      <c r="W474" s="1086">
        <v>0</v>
      </c>
      <c r="X474" s="1086">
        <v>0</v>
      </c>
      <c r="Y474" s="1086">
        <v>0</v>
      </c>
      <c r="Z474" s="1086">
        <v>0</v>
      </c>
      <c r="AA474" s="1086">
        <v>2688</v>
      </c>
      <c r="AB474" s="1086">
        <v>0</v>
      </c>
      <c r="AC474" s="1086">
        <v>48266.400000000001</v>
      </c>
      <c r="AD474" s="1103" t="s">
        <v>1253</v>
      </c>
      <c r="AE474" s="1086" t="s">
        <v>3881</v>
      </c>
      <c r="AF474" s="1086">
        <f t="shared" si="29"/>
        <v>48266.399999999994</v>
      </c>
      <c r="AG474" s="1086">
        <f t="shared" si="28"/>
        <v>0</v>
      </c>
      <c r="AQ474" s="1086">
        <v>0</v>
      </c>
      <c r="AR474" s="1086">
        <v>0</v>
      </c>
      <c r="AS474" s="1086">
        <v>48266.400000000001</v>
      </c>
      <c r="AT474" s="1086">
        <f t="shared" si="30"/>
        <v>0</v>
      </c>
      <c r="AV474" s="1150">
        <f t="shared" si="31"/>
        <v>36270</v>
      </c>
    </row>
    <row r="475" spans="1:48" x14ac:dyDescent="0.2">
      <c r="A475" s="19">
        <v>486</v>
      </c>
      <c r="B475" t="s">
        <v>1776</v>
      </c>
      <c r="C475" t="s">
        <v>2073</v>
      </c>
      <c r="D475" t="s">
        <v>1055</v>
      </c>
      <c r="E475" t="s">
        <v>2190</v>
      </c>
      <c r="F475" t="s">
        <v>2385</v>
      </c>
      <c r="G475" t="s">
        <v>3832</v>
      </c>
      <c r="H475" t="s">
        <v>3822</v>
      </c>
      <c r="I475" t="s">
        <v>3844</v>
      </c>
      <c r="J475" t="s">
        <v>3401</v>
      </c>
      <c r="K475" t="s">
        <v>3644</v>
      </c>
      <c r="L475" t="s">
        <v>2944</v>
      </c>
      <c r="M475" s="1086">
        <v>85040.62</v>
      </c>
      <c r="N475" s="1086">
        <v>180000</v>
      </c>
      <c r="O475" s="1086">
        <v>0</v>
      </c>
      <c r="P475" s="1086">
        <v>0</v>
      </c>
      <c r="Q475" s="1086">
        <v>0</v>
      </c>
      <c r="R475" s="1086">
        <v>0</v>
      </c>
      <c r="S475" s="1086">
        <v>0</v>
      </c>
      <c r="T475" s="1086">
        <v>0</v>
      </c>
      <c r="U475" s="1086">
        <v>86339.5</v>
      </c>
      <c r="V475" s="1086">
        <v>0</v>
      </c>
      <c r="W475" s="1086">
        <v>0</v>
      </c>
      <c r="X475" s="1086">
        <v>0</v>
      </c>
      <c r="Y475" s="1086">
        <v>0</v>
      </c>
      <c r="Z475" s="1086">
        <v>0</v>
      </c>
      <c r="AA475" s="1086">
        <v>6300</v>
      </c>
      <c r="AB475" s="1086">
        <v>0</v>
      </c>
      <c r="AC475" s="1086">
        <v>172401.12</v>
      </c>
      <c r="AD475" s="1103" t="s">
        <v>1253</v>
      </c>
      <c r="AE475" s="1086" t="s">
        <v>3881</v>
      </c>
      <c r="AF475" s="1086">
        <f t="shared" si="29"/>
        <v>172401.12</v>
      </c>
      <c r="AG475" s="1086">
        <f t="shared" si="28"/>
        <v>0</v>
      </c>
      <c r="AQ475" s="1086">
        <v>0</v>
      </c>
      <c r="AR475" s="1086">
        <v>0</v>
      </c>
      <c r="AS475" s="1086">
        <v>172401.12</v>
      </c>
      <c r="AT475" s="1086">
        <f t="shared" si="30"/>
        <v>0</v>
      </c>
      <c r="AV475" s="1150">
        <f t="shared" si="31"/>
        <v>92639.5</v>
      </c>
    </row>
    <row r="476" spans="1:48" x14ac:dyDescent="0.2">
      <c r="A476" s="19">
        <v>487</v>
      </c>
      <c r="B476" t="s">
        <v>1777</v>
      </c>
      <c r="C476" t="s">
        <v>2073</v>
      </c>
      <c r="D476" t="s">
        <v>1055</v>
      </c>
      <c r="E476" t="s">
        <v>2190</v>
      </c>
      <c r="F476" t="s">
        <v>2385</v>
      </c>
      <c r="G476" t="s">
        <v>3832</v>
      </c>
      <c r="H476" t="s">
        <v>3822</v>
      </c>
      <c r="I476">
        <v>0</v>
      </c>
      <c r="L476" t="s">
        <v>2945</v>
      </c>
      <c r="M476" s="1086">
        <v>0.45</v>
      </c>
      <c r="N476" s="1086">
        <v>28314</v>
      </c>
      <c r="O476" s="1086">
        <v>0</v>
      </c>
      <c r="P476" s="1086">
        <v>0</v>
      </c>
      <c r="Q476" s="1086">
        <v>0</v>
      </c>
      <c r="R476" s="1086">
        <v>0</v>
      </c>
      <c r="S476" s="1086">
        <v>0</v>
      </c>
      <c r="T476" s="1086">
        <v>0</v>
      </c>
      <c r="U476" s="1086">
        <v>19718.25</v>
      </c>
      <c r="V476" s="1086">
        <v>0</v>
      </c>
      <c r="W476" s="1086">
        <v>0</v>
      </c>
      <c r="X476" s="1086">
        <v>0</v>
      </c>
      <c r="Y476" s="1086">
        <v>0</v>
      </c>
      <c r="Z476" s="1086">
        <v>0</v>
      </c>
      <c r="AA476" s="1086">
        <v>990.99</v>
      </c>
      <c r="AB476" s="1086">
        <v>0</v>
      </c>
      <c r="AC476" s="1086">
        <v>7605.21</v>
      </c>
      <c r="AD476" s="1103" t="s">
        <v>1253</v>
      </c>
      <c r="AE476" s="1086" t="s">
        <v>3881</v>
      </c>
      <c r="AF476" s="1086">
        <f t="shared" si="29"/>
        <v>7605.2099999999991</v>
      </c>
      <c r="AG476" s="1086">
        <f t="shared" si="28"/>
        <v>0</v>
      </c>
      <c r="AQ476" s="1086">
        <v>0</v>
      </c>
      <c r="AR476" s="1086">
        <v>0</v>
      </c>
      <c r="AS476" s="1086">
        <v>7605.21</v>
      </c>
      <c r="AT476" s="1086">
        <f t="shared" si="30"/>
        <v>0</v>
      </c>
      <c r="AV476" s="1150">
        <f t="shared" si="31"/>
        <v>20709.240000000002</v>
      </c>
    </row>
    <row r="477" spans="1:48" x14ac:dyDescent="0.2">
      <c r="A477" s="19">
        <v>488</v>
      </c>
      <c r="B477" t="s">
        <v>1778</v>
      </c>
      <c r="C477" t="s">
        <v>2073</v>
      </c>
      <c r="D477" t="s">
        <v>1060</v>
      </c>
      <c r="E477" t="s">
        <v>2256</v>
      </c>
      <c r="F477" t="s">
        <v>2450</v>
      </c>
      <c r="G477" t="s">
        <v>1257</v>
      </c>
      <c r="H477" t="s">
        <v>3826</v>
      </c>
      <c r="I477">
        <v>2221</v>
      </c>
      <c r="J477" t="s">
        <v>3645</v>
      </c>
      <c r="K477">
        <v>2715</v>
      </c>
      <c r="L477" t="s">
        <v>2946</v>
      </c>
      <c r="M477" s="1086">
        <v>58243.040000000001</v>
      </c>
      <c r="N477" s="1086">
        <v>300661.83</v>
      </c>
      <c r="O477" s="1086">
        <v>0</v>
      </c>
      <c r="P477" s="1086">
        <v>0</v>
      </c>
      <c r="Q477" s="1086">
        <v>0</v>
      </c>
      <c r="R477" s="1086">
        <v>0</v>
      </c>
      <c r="S477" s="1086">
        <v>0</v>
      </c>
      <c r="T477" s="1086">
        <v>0</v>
      </c>
      <c r="U477" s="1086">
        <v>21585.25</v>
      </c>
      <c r="V477" s="1086">
        <v>0</v>
      </c>
      <c r="W477" s="1086">
        <v>0</v>
      </c>
      <c r="X477" s="1086">
        <v>0</v>
      </c>
      <c r="Y477" s="1086">
        <v>0</v>
      </c>
      <c r="Z477" s="1086">
        <v>0</v>
      </c>
      <c r="AA477" s="1086">
        <v>313398.57</v>
      </c>
      <c r="AB477" s="1086">
        <v>0</v>
      </c>
      <c r="AC477" s="1086">
        <v>23921.05</v>
      </c>
      <c r="AD477" s="1086" t="s">
        <v>248</v>
      </c>
      <c r="AE477" s="1086" t="s">
        <v>3877</v>
      </c>
      <c r="AF477" s="1086">
        <f t="shared" si="29"/>
        <v>23921.049999999988</v>
      </c>
      <c r="AG477" s="1086">
        <f t="shared" si="28"/>
        <v>0</v>
      </c>
      <c r="AQ477" s="1086">
        <v>0</v>
      </c>
      <c r="AR477" s="1086">
        <v>0</v>
      </c>
      <c r="AS477" s="1086">
        <v>23921.05</v>
      </c>
      <c r="AT477" s="1086">
        <f t="shared" si="30"/>
        <v>0</v>
      </c>
      <c r="AV477" s="1150">
        <f t="shared" si="31"/>
        <v>334983.82</v>
      </c>
    </row>
    <row r="478" spans="1:48" x14ac:dyDescent="0.2">
      <c r="A478" s="19">
        <v>489</v>
      </c>
      <c r="B478" t="s">
        <v>1753</v>
      </c>
      <c r="C478" t="s">
        <v>2073</v>
      </c>
      <c r="D478" t="s">
        <v>1005</v>
      </c>
      <c r="E478" t="s">
        <v>2195</v>
      </c>
      <c r="F478" t="s">
        <v>2390</v>
      </c>
      <c r="G478" t="s">
        <v>1250</v>
      </c>
      <c r="H478" t="s">
        <v>3822</v>
      </c>
      <c r="I478">
        <v>0</v>
      </c>
      <c r="L478" t="s">
        <v>2921</v>
      </c>
      <c r="M478" s="1086">
        <v>5706.75</v>
      </c>
      <c r="N478" s="1086">
        <v>1459</v>
      </c>
      <c r="O478" s="1086">
        <v>0</v>
      </c>
      <c r="P478" s="1086">
        <v>0</v>
      </c>
      <c r="Q478" s="1086">
        <v>0</v>
      </c>
      <c r="R478" s="1086">
        <v>0</v>
      </c>
      <c r="S478" s="1086">
        <v>0</v>
      </c>
      <c r="T478" s="1086">
        <v>0</v>
      </c>
      <c r="U478" s="1086">
        <v>7116.22</v>
      </c>
      <c r="V478" s="1086">
        <v>0</v>
      </c>
      <c r="W478" s="1086">
        <v>0</v>
      </c>
      <c r="X478" s="1086">
        <v>0</v>
      </c>
      <c r="Y478" s="1086">
        <v>0</v>
      </c>
      <c r="Z478" s="1086">
        <v>0</v>
      </c>
      <c r="AA478" s="1086">
        <v>49.53</v>
      </c>
      <c r="AB478" s="1086">
        <v>0</v>
      </c>
      <c r="AC478" s="1086">
        <v>0</v>
      </c>
      <c r="AD478" s="1086" t="s">
        <v>248</v>
      </c>
      <c r="AE478" s="1086" t="s">
        <v>3877</v>
      </c>
      <c r="AF478" s="1086">
        <f t="shared" si="29"/>
        <v>0</v>
      </c>
      <c r="AG478" s="1086">
        <f t="shared" si="28"/>
        <v>0</v>
      </c>
      <c r="AQ478" s="1086">
        <v>0</v>
      </c>
      <c r="AR478" s="1086">
        <v>0</v>
      </c>
      <c r="AS478" s="1086">
        <v>0</v>
      </c>
      <c r="AT478" s="1086">
        <f t="shared" si="30"/>
        <v>0</v>
      </c>
      <c r="AV478" s="1150">
        <f t="shared" si="31"/>
        <v>7165.75</v>
      </c>
    </row>
    <row r="479" spans="1:48" x14ac:dyDescent="0.2">
      <c r="A479" s="19">
        <v>491</v>
      </c>
      <c r="B479" t="s">
        <v>1779</v>
      </c>
      <c r="C479" t="s">
        <v>2073</v>
      </c>
      <c r="D479" t="s">
        <v>1031</v>
      </c>
      <c r="E479" t="s">
        <v>2197</v>
      </c>
      <c r="F479" t="s">
        <v>2392</v>
      </c>
      <c r="G479" t="s">
        <v>3831</v>
      </c>
      <c r="H479" t="s">
        <v>3822</v>
      </c>
      <c r="I479">
        <v>2246</v>
      </c>
      <c r="J479" t="s">
        <v>3341</v>
      </c>
      <c r="K479" t="s">
        <v>3646</v>
      </c>
      <c r="L479" t="s">
        <v>2947</v>
      </c>
      <c r="M479" s="1086">
        <v>835312.13</v>
      </c>
      <c r="N479" s="1086">
        <v>1660573.6600000001</v>
      </c>
      <c r="O479" s="1086">
        <v>0</v>
      </c>
      <c r="P479" s="1086">
        <v>273474.78999999998</v>
      </c>
      <c r="Q479" s="1086">
        <v>0</v>
      </c>
      <c r="R479" s="1086">
        <v>220989.49</v>
      </c>
      <c r="S479" s="1086">
        <v>0</v>
      </c>
      <c r="T479" s="1086">
        <v>143315.31</v>
      </c>
      <c r="U479" s="1086">
        <v>115520.39</v>
      </c>
      <c r="V479" s="1086">
        <v>0</v>
      </c>
      <c r="W479" s="1086">
        <v>4800.7</v>
      </c>
      <c r="X479" s="1086">
        <v>489</v>
      </c>
      <c r="Y479" s="1086">
        <v>0</v>
      </c>
      <c r="Z479" s="1086">
        <v>0</v>
      </c>
      <c r="AA479" s="1086">
        <v>57452.14</v>
      </c>
      <c r="AB479" s="1086">
        <v>38512</v>
      </c>
      <c r="AC479" s="1086">
        <v>1641331.97</v>
      </c>
      <c r="AD479" s="1103" t="s">
        <v>1252</v>
      </c>
      <c r="AE479" s="1086" t="s">
        <v>3879</v>
      </c>
      <c r="AF479" s="1086">
        <f t="shared" si="29"/>
        <v>1641331.9700000002</v>
      </c>
      <c r="AG479" s="1086">
        <f t="shared" si="28"/>
        <v>0</v>
      </c>
      <c r="AQ479" s="1086">
        <v>0</v>
      </c>
      <c r="AR479" s="1086">
        <v>0</v>
      </c>
      <c r="AS479" s="1086">
        <v>1641331.97</v>
      </c>
      <c r="AT479" s="1086">
        <f t="shared" si="30"/>
        <v>0</v>
      </c>
      <c r="AV479" s="1150">
        <f t="shared" si="31"/>
        <v>854553.82</v>
      </c>
    </row>
    <row r="480" spans="1:48" x14ac:dyDescent="0.2">
      <c r="A480" s="19">
        <v>492</v>
      </c>
      <c r="B480" t="s">
        <v>1780</v>
      </c>
      <c r="C480" t="s">
        <v>2073</v>
      </c>
      <c r="D480" t="s">
        <v>1055</v>
      </c>
      <c r="E480" t="s">
        <v>2257</v>
      </c>
      <c r="F480" t="s">
        <v>2451</v>
      </c>
      <c r="G480" t="s">
        <v>3832</v>
      </c>
      <c r="H480" t="s">
        <v>3826</v>
      </c>
      <c r="I480" t="s">
        <v>3844</v>
      </c>
      <c r="J480" t="s">
        <v>3401</v>
      </c>
      <c r="K480" t="s">
        <v>3647</v>
      </c>
      <c r="L480" t="s">
        <v>2948</v>
      </c>
      <c r="M480" s="1086">
        <v>18348.93</v>
      </c>
      <c r="N480" s="1086">
        <v>114000</v>
      </c>
      <c r="O480" s="1086">
        <v>0</v>
      </c>
      <c r="P480" s="1086">
        <v>1020</v>
      </c>
      <c r="Q480" s="1086">
        <v>0</v>
      </c>
      <c r="R480" s="1086">
        <v>0</v>
      </c>
      <c r="S480" s="1086">
        <v>0</v>
      </c>
      <c r="T480" s="1086">
        <v>32.130000000000003</v>
      </c>
      <c r="U480" s="1086">
        <v>75800.69</v>
      </c>
      <c r="V480" s="1086">
        <v>90.06</v>
      </c>
      <c r="W480" s="1086">
        <v>18547.84</v>
      </c>
      <c r="X480" s="1086">
        <v>0</v>
      </c>
      <c r="Y480" s="1086">
        <v>0</v>
      </c>
      <c r="Z480" s="1086">
        <v>0</v>
      </c>
      <c r="AA480" s="1086">
        <v>3990</v>
      </c>
      <c r="AB480" s="1086">
        <v>0</v>
      </c>
      <c r="AC480" s="1086">
        <v>32868.21</v>
      </c>
      <c r="AD480" s="1103" t="s">
        <v>1253</v>
      </c>
      <c r="AE480" s="1086" t="s">
        <v>3881</v>
      </c>
      <c r="AF480" s="1086">
        <f t="shared" si="29"/>
        <v>32868.209999999992</v>
      </c>
      <c r="AG480" s="1086">
        <f t="shared" si="28"/>
        <v>0</v>
      </c>
      <c r="AQ480" s="1086">
        <v>0</v>
      </c>
      <c r="AR480" s="1086">
        <v>0</v>
      </c>
      <c r="AS480" s="1086">
        <v>32868.21</v>
      </c>
      <c r="AT480" s="1086">
        <f t="shared" si="30"/>
        <v>0</v>
      </c>
      <c r="AV480" s="1150">
        <f t="shared" si="31"/>
        <v>99480.72</v>
      </c>
    </row>
    <row r="481" spans="1:48" x14ac:dyDescent="0.2">
      <c r="A481" s="19">
        <v>493</v>
      </c>
      <c r="B481" t="s">
        <v>1781</v>
      </c>
      <c r="C481" t="s">
        <v>2073</v>
      </c>
      <c r="D481" t="s">
        <v>1055</v>
      </c>
      <c r="E481" t="s">
        <v>2222</v>
      </c>
      <c r="F481" t="s">
        <v>2417</v>
      </c>
      <c r="G481" t="s">
        <v>3832</v>
      </c>
      <c r="H481" t="s">
        <v>3823</v>
      </c>
      <c r="I481">
        <v>0</v>
      </c>
      <c r="L481" t="s">
        <v>2949</v>
      </c>
      <c r="M481" s="1086">
        <v>27508.35</v>
      </c>
      <c r="N481" s="1086">
        <v>60000</v>
      </c>
      <c r="O481" s="1086">
        <v>0</v>
      </c>
      <c r="P481" s="1086">
        <v>0</v>
      </c>
      <c r="Q481" s="1086">
        <v>0</v>
      </c>
      <c r="R481" s="1086">
        <v>0</v>
      </c>
      <c r="S481" s="1086">
        <v>0</v>
      </c>
      <c r="T481" s="1086">
        <v>0</v>
      </c>
      <c r="U481" s="1086">
        <v>22769.52</v>
      </c>
      <c r="V481" s="1086">
        <v>0</v>
      </c>
      <c r="W481" s="1086">
        <v>0</v>
      </c>
      <c r="X481" s="1086">
        <v>2558.84</v>
      </c>
      <c r="Y481" s="1086">
        <v>0</v>
      </c>
      <c r="Z481" s="1086">
        <v>0</v>
      </c>
      <c r="AA481" s="1086">
        <v>7219.99</v>
      </c>
      <c r="AB481" s="1086">
        <v>0</v>
      </c>
      <c r="AC481" s="1086">
        <v>54960</v>
      </c>
      <c r="AD481" s="1103" t="s">
        <v>1253</v>
      </c>
      <c r="AE481" s="1086" t="s">
        <v>3881</v>
      </c>
      <c r="AF481" s="1086">
        <f t="shared" si="29"/>
        <v>54960.000000000007</v>
      </c>
      <c r="AG481" s="1086">
        <f t="shared" si="28"/>
        <v>0</v>
      </c>
      <c r="AQ481" s="1086">
        <v>0</v>
      </c>
      <c r="AR481" s="1086">
        <v>0</v>
      </c>
      <c r="AS481" s="1086">
        <v>54960</v>
      </c>
      <c r="AT481" s="1086">
        <f t="shared" si="30"/>
        <v>0</v>
      </c>
      <c r="AV481" s="1150">
        <f t="shared" si="31"/>
        <v>32548.35</v>
      </c>
    </row>
    <row r="482" spans="1:48" x14ac:dyDescent="0.2">
      <c r="A482" s="19">
        <v>494</v>
      </c>
      <c r="B482" t="s">
        <v>1782</v>
      </c>
      <c r="C482" t="s">
        <v>2074</v>
      </c>
      <c r="D482" t="s">
        <v>1051</v>
      </c>
      <c r="E482" t="s">
        <v>2258</v>
      </c>
      <c r="F482" t="s">
        <v>2452</v>
      </c>
      <c r="H482" t="s">
        <v>3836</v>
      </c>
      <c r="I482">
        <v>0</v>
      </c>
      <c r="L482" t="s">
        <v>2987</v>
      </c>
      <c r="M482" s="1086">
        <v>37971.64</v>
      </c>
      <c r="N482" s="1086">
        <v>0</v>
      </c>
      <c r="O482" s="1086">
        <v>0</v>
      </c>
      <c r="P482" s="1086">
        <v>0</v>
      </c>
      <c r="Q482" s="1086">
        <v>0</v>
      </c>
      <c r="R482" s="1086">
        <v>0</v>
      </c>
      <c r="S482" s="1086">
        <v>0</v>
      </c>
      <c r="T482" s="1086">
        <v>0</v>
      </c>
      <c r="U482" s="1086">
        <v>0</v>
      </c>
      <c r="V482" s="1086">
        <v>0</v>
      </c>
      <c r="W482" s="1086">
        <v>0</v>
      </c>
      <c r="X482" s="1086">
        <v>0</v>
      </c>
      <c r="Y482" s="1086">
        <v>0</v>
      </c>
      <c r="Z482" s="1086">
        <v>0</v>
      </c>
      <c r="AA482" s="1086">
        <v>0</v>
      </c>
      <c r="AB482" s="1086">
        <v>0</v>
      </c>
      <c r="AC482" s="1086">
        <v>37971.64</v>
      </c>
      <c r="AD482" s="1086" t="s">
        <v>248</v>
      </c>
      <c r="AE482" s="1086" t="s">
        <v>3883</v>
      </c>
      <c r="AF482" s="1086">
        <f t="shared" si="29"/>
        <v>37971.64</v>
      </c>
      <c r="AG482" s="1086">
        <f t="shared" si="28"/>
        <v>0</v>
      </c>
      <c r="AQ482" s="1086">
        <v>0</v>
      </c>
      <c r="AR482" s="1086">
        <v>0</v>
      </c>
      <c r="AS482" s="1086">
        <v>37971.64</v>
      </c>
      <c r="AT482" s="1086">
        <f t="shared" si="30"/>
        <v>0</v>
      </c>
      <c r="AV482" s="1150">
        <f t="shared" si="31"/>
        <v>0</v>
      </c>
    </row>
    <row r="483" spans="1:48" x14ac:dyDescent="0.2">
      <c r="A483" s="19">
        <v>495</v>
      </c>
      <c r="B483" t="s">
        <v>1783</v>
      </c>
      <c r="C483" t="s">
        <v>2074</v>
      </c>
      <c r="D483" t="s">
        <v>1051</v>
      </c>
      <c r="E483" t="s">
        <v>2258</v>
      </c>
      <c r="F483" t="s">
        <v>2452</v>
      </c>
      <c r="H483" t="s">
        <v>3836</v>
      </c>
      <c r="I483">
        <v>0</v>
      </c>
      <c r="L483" t="s">
        <v>2988</v>
      </c>
      <c r="M483" s="1086">
        <v>30205</v>
      </c>
      <c r="N483" s="1086">
        <v>0</v>
      </c>
      <c r="O483" s="1086">
        <v>0</v>
      </c>
      <c r="P483" s="1086">
        <v>0</v>
      </c>
      <c r="Q483" s="1086">
        <v>0</v>
      </c>
      <c r="R483" s="1086">
        <v>0</v>
      </c>
      <c r="S483" s="1086">
        <v>0</v>
      </c>
      <c r="T483" s="1086">
        <v>0</v>
      </c>
      <c r="U483" s="1086">
        <v>0</v>
      </c>
      <c r="V483" s="1086">
        <v>0</v>
      </c>
      <c r="W483" s="1086">
        <v>0</v>
      </c>
      <c r="X483" s="1086">
        <v>0</v>
      </c>
      <c r="Y483" s="1086">
        <v>0</v>
      </c>
      <c r="Z483" s="1086">
        <v>0</v>
      </c>
      <c r="AA483" s="1086">
        <v>0</v>
      </c>
      <c r="AB483" s="1086">
        <v>0</v>
      </c>
      <c r="AC483" s="1086">
        <v>30205</v>
      </c>
      <c r="AD483" s="1086" t="s">
        <v>248</v>
      </c>
      <c r="AE483" s="1086" t="s">
        <v>3883</v>
      </c>
      <c r="AF483" s="1086">
        <f t="shared" si="29"/>
        <v>30205</v>
      </c>
      <c r="AG483" s="1086">
        <f t="shared" si="28"/>
        <v>0</v>
      </c>
      <c r="AQ483" s="1086">
        <v>0</v>
      </c>
      <c r="AR483" s="1086">
        <v>0</v>
      </c>
      <c r="AS483" s="1086">
        <v>30205</v>
      </c>
      <c r="AT483" s="1086">
        <f t="shared" si="30"/>
        <v>0</v>
      </c>
      <c r="AV483" s="1150">
        <f t="shared" si="31"/>
        <v>0</v>
      </c>
    </row>
    <row r="484" spans="1:48" x14ac:dyDescent="0.2">
      <c r="A484" s="19">
        <v>496</v>
      </c>
      <c r="B484" t="s">
        <v>1784</v>
      </c>
      <c r="C484" t="s">
        <v>2074</v>
      </c>
      <c r="D484" t="s">
        <v>1051</v>
      </c>
      <c r="E484" t="s">
        <v>2258</v>
      </c>
      <c r="F484" t="s">
        <v>2452</v>
      </c>
      <c r="H484" t="s">
        <v>3836</v>
      </c>
      <c r="I484">
        <v>0</v>
      </c>
      <c r="L484" t="s">
        <v>2989</v>
      </c>
      <c r="M484" s="1086">
        <v>215496.29</v>
      </c>
      <c r="N484" s="1086">
        <v>0</v>
      </c>
      <c r="O484" s="1086">
        <v>0</v>
      </c>
      <c r="P484" s="1086">
        <v>0</v>
      </c>
      <c r="Q484" s="1086">
        <v>0</v>
      </c>
      <c r="R484" s="1086">
        <v>0</v>
      </c>
      <c r="S484" s="1086">
        <v>0</v>
      </c>
      <c r="T484" s="1086">
        <v>0</v>
      </c>
      <c r="U484" s="1086">
        <v>0</v>
      </c>
      <c r="V484" s="1086">
        <v>0</v>
      </c>
      <c r="W484" s="1086">
        <v>0</v>
      </c>
      <c r="X484" s="1086">
        <v>0</v>
      </c>
      <c r="Y484" s="1086">
        <v>0</v>
      </c>
      <c r="Z484" s="1086">
        <v>0</v>
      </c>
      <c r="AA484" s="1086">
        <v>0</v>
      </c>
      <c r="AB484" s="1086">
        <v>0</v>
      </c>
      <c r="AC484" s="1086">
        <v>215496.29</v>
      </c>
      <c r="AD484" s="1086" t="s">
        <v>248</v>
      </c>
      <c r="AE484" s="1086" t="s">
        <v>3883</v>
      </c>
      <c r="AF484" s="1086">
        <f t="shared" si="29"/>
        <v>215496.29</v>
      </c>
      <c r="AG484" s="1086">
        <f t="shared" si="28"/>
        <v>0</v>
      </c>
      <c r="AQ484" s="1086">
        <v>0</v>
      </c>
      <c r="AR484" s="1086">
        <v>0</v>
      </c>
      <c r="AS484" s="1086">
        <v>215496.29</v>
      </c>
      <c r="AT484" s="1086">
        <f t="shared" si="30"/>
        <v>0</v>
      </c>
      <c r="AV484" s="1150">
        <f t="shared" si="31"/>
        <v>0</v>
      </c>
    </row>
    <row r="485" spans="1:48" x14ac:dyDescent="0.2">
      <c r="A485" s="19">
        <v>497</v>
      </c>
      <c r="B485" t="s">
        <v>1785</v>
      </c>
      <c r="C485" t="s">
        <v>2074</v>
      </c>
      <c r="D485" t="s">
        <v>1051</v>
      </c>
      <c r="E485" t="s">
        <v>2258</v>
      </c>
      <c r="F485" t="s">
        <v>2452</v>
      </c>
      <c r="H485" t="s">
        <v>3836</v>
      </c>
      <c r="I485">
        <v>0</v>
      </c>
      <c r="L485" t="s">
        <v>2990</v>
      </c>
      <c r="M485" s="1086">
        <v>649804.68000000005</v>
      </c>
      <c r="N485" s="1086">
        <v>0</v>
      </c>
      <c r="O485" s="1086">
        <v>0</v>
      </c>
      <c r="P485" s="1086">
        <v>0</v>
      </c>
      <c r="Q485" s="1086">
        <v>0</v>
      </c>
      <c r="R485" s="1086">
        <v>0</v>
      </c>
      <c r="S485" s="1086">
        <v>0</v>
      </c>
      <c r="T485" s="1086">
        <v>0</v>
      </c>
      <c r="U485" s="1086">
        <v>0</v>
      </c>
      <c r="V485" s="1086">
        <v>0</v>
      </c>
      <c r="W485" s="1086">
        <v>0</v>
      </c>
      <c r="X485" s="1086">
        <v>0</v>
      </c>
      <c r="Y485" s="1086">
        <v>0</v>
      </c>
      <c r="Z485" s="1086">
        <v>0</v>
      </c>
      <c r="AA485" s="1086">
        <v>0</v>
      </c>
      <c r="AB485" s="1086">
        <v>0</v>
      </c>
      <c r="AC485" s="1086">
        <v>649804.68000000005</v>
      </c>
      <c r="AD485" s="1086" t="s">
        <v>248</v>
      </c>
      <c r="AE485" s="1086" t="s">
        <v>3883</v>
      </c>
      <c r="AF485" s="1086">
        <f t="shared" si="29"/>
        <v>649804.68000000005</v>
      </c>
      <c r="AG485" s="1086">
        <f t="shared" si="28"/>
        <v>0</v>
      </c>
      <c r="AQ485" s="1086">
        <v>0</v>
      </c>
      <c r="AR485" s="1086">
        <v>0</v>
      </c>
      <c r="AS485" s="1086">
        <v>649804.68000000005</v>
      </c>
      <c r="AT485" s="1086">
        <f t="shared" si="30"/>
        <v>0</v>
      </c>
      <c r="AV485" s="1150">
        <f t="shared" si="31"/>
        <v>0</v>
      </c>
    </row>
    <row r="486" spans="1:48" x14ac:dyDescent="0.2">
      <c r="A486" s="19">
        <v>498</v>
      </c>
      <c r="B486" t="s">
        <v>1786</v>
      </c>
      <c r="C486" t="s">
        <v>2074</v>
      </c>
      <c r="D486" t="s">
        <v>1051</v>
      </c>
      <c r="E486" t="s">
        <v>2258</v>
      </c>
      <c r="F486" t="s">
        <v>2452</v>
      </c>
      <c r="H486" t="s">
        <v>3836</v>
      </c>
      <c r="I486">
        <v>0</v>
      </c>
      <c r="L486" t="s">
        <v>2991</v>
      </c>
      <c r="M486" s="1086">
        <v>2000000</v>
      </c>
      <c r="N486" s="1086">
        <v>0</v>
      </c>
      <c r="O486" s="1086">
        <v>0</v>
      </c>
      <c r="P486" s="1086">
        <v>0</v>
      </c>
      <c r="Q486" s="1086">
        <v>0</v>
      </c>
      <c r="R486" s="1086">
        <v>0</v>
      </c>
      <c r="S486" s="1086">
        <v>0</v>
      </c>
      <c r="T486" s="1086">
        <v>0</v>
      </c>
      <c r="U486" s="1086">
        <v>0</v>
      </c>
      <c r="V486" s="1086">
        <v>0</v>
      </c>
      <c r="W486" s="1086">
        <v>0</v>
      </c>
      <c r="X486" s="1086">
        <v>0</v>
      </c>
      <c r="Y486" s="1086">
        <v>0</v>
      </c>
      <c r="Z486" s="1086">
        <v>0</v>
      </c>
      <c r="AA486" s="1086">
        <v>0</v>
      </c>
      <c r="AB486" s="1086">
        <v>0</v>
      </c>
      <c r="AC486" s="1086">
        <v>2000000</v>
      </c>
      <c r="AD486" s="1086" t="s">
        <v>248</v>
      </c>
      <c r="AE486" s="1086" t="s">
        <v>3883</v>
      </c>
      <c r="AF486" s="1086">
        <f t="shared" si="29"/>
        <v>2000000</v>
      </c>
      <c r="AG486" s="1086">
        <f t="shared" si="28"/>
        <v>0</v>
      </c>
      <c r="AQ486" s="1086">
        <v>0</v>
      </c>
      <c r="AR486" s="1086">
        <v>0</v>
      </c>
      <c r="AS486" s="1086">
        <v>2000000</v>
      </c>
      <c r="AT486" s="1086">
        <f t="shared" si="30"/>
        <v>0</v>
      </c>
      <c r="AV486" s="1150">
        <f t="shared" si="31"/>
        <v>0</v>
      </c>
    </row>
    <row r="487" spans="1:48" x14ac:dyDescent="0.2">
      <c r="A487" s="19">
        <v>499</v>
      </c>
      <c r="B487" t="s">
        <v>1787</v>
      </c>
      <c r="C487" t="s">
        <v>2074</v>
      </c>
      <c r="D487" t="s">
        <v>1051</v>
      </c>
      <c r="E487" t="s">
        <v>2258</v>
      </c>
      <c r="F487" t="s">
        <v>2452</v>
      </c>
      <c r="H487" t="s">
        <v>3836</v>
      </c>
      <c r="I487">
        <v>0</v>
      </c>
      <c r="L487" t="s">
        <v>2992</v>
      </c>
      <c r="M487" s="1086">
        <v>2200</v>
      </c>
      <c r="N487" s="1086">
        <v>0</v>
      </c>
      <c r="O487" s="1086">
        <v>0</v>
      </c>
      <c r="P487" s="1086">
        <v>0</v>
      </c>
      <c r="Q487" s="1086">
        <v>0</v>
      </c>
      <c r="R487" s="1086">
        <v>0</v>
      </c>
      <c r="S487" s="1086">
        <v>0</v>
      </c>
      <c r="T487" s="1086">
        <v>0</v>
      </c>
      <c r="U487" s="1086">
        <v>0</v>
      </c>
      <c r="V487" s="1086">
        <v>0</v>
      </c>
      <c r="W487" s="1086">
        <v>0</v>
      </c>
      <c r="X487" s="1086">
        <v>0</v>
      </c>
      <c r="Y487" s="1086">
        <v>0</v>
      </c>
      <c r="Z487" s="1086">
        <v>0</v>
      </c>
      <c r="AA487" s="1086">
        <v>0</v>
      </c>
      <c r="AB487" s="1086">
        <v>0</v>
      </c>
      <c r="AC487" s="1086">
        <v>2200</v>
      </c>
      <c r="AD487" s="1086" t="s">
        <v>248</v>
      </c>
      <c r="AE487" s="1086" t="s">
        <v>3883</v>
      </c>
      <c r="AF487" s="1086">
        <f t="shared" si="29"/>
        <v>2200</v>
      </c>
      <c r="AG487" s="1086">
        <f t="shared" si="28"/>
        <v>0</v>
      </c>
      <c r="AQ487" s="1086">
        <v>0</v>
      </c>
      <c r="AR487" s="1086">
        <v>0</v>
      </c>
      <c r="AS487" s="1086">
        <v>2200</v>
      </c>
      <c r="AT487" s="1086">
        <f t="shared" si="30"/>
        <v>0</v>
      </c>
      <c r="AV487" s="1150">
        <f t="shared" si="31"/>
        <v>0</v>
      </c>
    </row>
    <row r="488" spans="1:48" x14ac:dyDescent="0.2">
      <c r="A488" s="19">
        <v>500</v>
      </c>
      <c r="B488" t="s">
        <v>1788</v>
      </c>
      <c r="C488" t="s">
        <v>2074</v>
      </c>
      <c r="D488" t="s">
        <v>1051</v>
      </c>
      <c r="E488" t="s">
        <v>2258</v>
      </c>
      <c r="F488" t="s">
        <v>2452</v>
      </c>
      <c r="H488" t="s">
        <v>3836</v>
      </c>
      <c r="I488">
        <v>0</v>
      </c>
      <c r="L488" t="s">
        <v>2993</v>
      </c>
      <c r="M488" s="1086">
        <v>649804.68999999994</v>
      </c>
      <c r="N488" s="1086">
        <v>0</v>
      </c>
      <c r="O488" s="1086">
        <v>0</v>
      </c>
      <c r="P488" s="1086">
        <v>0</v>
      </c>
      <c r="Q488" s="1086">
        <v>0</v>
      </c>
      <c r="R488" s="1086">
        <v>0</v>
      </c>
      <c r="S488" s="1086">
        <v>0</v>
      </c>
      <c r="T488" s="1086">
        <v>0</v>
      </c>
      <c r="U488" s="1086">
        <v>0</v>
      </c>
      <c r="V488" s="1086">
        <v>0</v>
      </c>
      <c r="W488" s="1086">
        <v>0</v>
      </c>
      <c r="X488" s="1086">
        <v>0</v>
      </c>
      <c r="Y488" s="1086">
        <v>0</v>
      </c>
      <c r="Z488" s="1086">
        <v>0</v>
      </c>
      <c r="AA488" s="1086">
        <v>0</v>
      </c>
      <c r="AB488" s="1086">
        <v>0</v>
      </c>
      <c r="AC488" s="1086">
        <v>649804.68999999994</v>
      </c>
      <c r="AD488" s="1086" t="s">
        <v>248</v>
      </c>
      <c r="AE488" s="1086" t="s">
        <v>3883</v>
      </c>
      <c r="AF488" s="1086">
        <f t="shared" si="29"/>
        <v>649804.68999999994</v>
      </c>
      <c r="AG488" s="1086">
        <f t="shared" si="28"/>
        <v>0</v>
      </c>
      <c r="AQ488" s="1086">
        <v>0</v>
      </c>
      <c r="AR488" s="1086">
        <v>0</v>
      </c>
      <c r="AS488" s="1086">
        <v>649804.68999999994</v>
      </c>
      <c r="AT488" s="1086">
        <f t="shared" si="30"/>
        <v>0</v>
      </c>
      <c r="AV488" s="1150">
        <f t="shared" si="31"/>
        <v>0</v>
      </c>
    </row>
    <row r="489" spans="1:48" x14ac:dyDescent="0.2">
      <c r="A489" s="19">
        <v>501</v>
      </c>
      <c r="B489" t="s">
        <v>1789</v>
      </c>
      <c r="C489" t="s">
        <v>2074</v>
      </c>
      <c r="D489" t="s">
        <v>1051</v>
      </c>
      <c r="E489" t="s">
        <v>2258</v>
      </c>
      <c r="F489" t="s">
        <v>2452</v>
      </c>
      <c r="H489" t="s">
        <v>3836</v>
      </c>
      <c r="I489">
        <v>0</v>
      </c>
      <c r="L489" t="s">
        <v>2994</v>
      </c>
      <c r="M489" s="1086">
        <v>314745.36</v>
      </c>
      <c r="N489" s="1086">
        <v>0</v>
      </c>
      <c r="O489" s="1086">
        <v>0</v>
      </c>
      <c r="P489" s="1086">
        <v>0</v>
      </c>
      <c r="Q489" s="1086">
        <v>0</v>
      </c>
      <c r="R489" s="1086">
        <v>0</v>
      </c>
      <c r="S489" s="1086">
        <v>0</v>
      </c>
      <c r="T489" s="1086">
        <v>0</v>
      </c>
      <c r="U489" s="1086">
        <v>0</v>
      </c>
      <c r="V489" s="1086">
        <v>0</v>
      </c>
      <c r="W489" s="1086">
        <v>0</v>
      </c>
      <c r="X489" s="1086">
        <v>0</v>
      </c>
      <c r="Y489" s="1086">
        <v>0</v>
      </c>
      <c r="Z489" s="1086">
        <v>0</v>
      </c>
      <c r="AA489" s="1086">
        <v>0</v>
      </c>
      <c r="AB489" s="1086">
        <v>0</v>
      </c>
      <c r="AC489" s="1086">
        <v>314745.36</v>
      </c>
      <c r="AD489" s="1086" t="s">
        <v>248</v>
      </c>
      <c r="AE489" s="1086" t="s">
        <v>3883</v>
      </c>
      <c r="AF489" s="1086">
        <f t="shared" si="29"/>
        <v>314745.36</v>
      </c>
      <c r="AG489" s="1086">
        <f t="shared" si="28"/>
        <v>0</v>
      </c>
      <c r="AQ489" s="1086">
        <v>0</v>
      </c>
      <c r="AR489" s="1086">
        <v>0</v>
      </c>
      <c r="AS489" s="1086">
        <v>314745.36</v>
      </c>
      <c r="AT489" s="1086">
        <f t="shared" si="30"/>
        <v>0</v>
      </c>
      <c r="AV489" s="1150">
        <f t="shared" si="31"/>
        <v>0</v>
      </c>
    </row>
    <row r="490" spans="1:48" x14ac:dyDescent="0.2">
      <c r="A490" s="19">
        <v>502</v>
      </c>
      <c r="B490" t="s">
        <v>1790</v>
      </c>
      <c r="C490" t="s">
        <v>2074</v>
      </c>
      <c r="D490" t="s">
        <v>1051</v>
      </c>
      <c r="E490" t="s">
        <v>2258</v>
      </c>
      <c r="F490" t="s">
        <v>2452</v>
      </c>
      <c r="H490" t="s">
        <v>3836</v>
      </c>
      <c r="I490">
        <v>0</v>
      </c>
      <c r="L490" t="s">
        <v>2995</v>
      </c>
      <c r="M490" s="1086">
        <v>57811.93</v>
      </c>
      <c r="N490" s="1086">
        <v>0</v>
      </c>
      <c r="O490" s="1086">
        <v>0</v>
      </c>
      <c r="P490" s="1086">
        <v>0</v>
      </c>
      <c r="Q490" s="1086">
        <v>0</v>
      </c>
      <c r="R490" s="1086">
        <v>0</v>
      </c>
      <c r="S490" s="1086">
        <v>0</v>
      </c>
      <c r="T490" s="1086">
        <v>0</v>
      </c>
      <c r="U490" s="1086">
        <v>0</v>
      </c>
      <c r="V490" s="1086">
        <v>0</v>
      </c>
      <c r="W490" s="1086">
        <v>0</v>
      </c>
      <c r="X490" s="1086">
        <v>0</v>
      </c>
      <c r="Y490" s="1086">
        <v>0</v>
      </c>
      <c r="Z490" s="1086">
        <v>0</v>
      </c>
      <c r="AA490" s="1086">
        <v>0</v>
      </c>
      <c r="AB490" s="1086">
        <v>0</v>
      </c>
      <c r="AC490" s="1086">
        <v>57811.93</v>
      </c>
      <c r="AD490" s="1086" t="s">
        <v>248</v>
      </c>
      <c r="AE490" s="1086" t="s">
        <v>3883</v>
      </c>
      <c r="AF490" s="1086">
        <f t="shared" si="29"/>
        <v>57811.93</v>
      </c>
      <c r="AG490" s="1086">
        <f t="shared" si="28"/>
        <v>0</v>
      </c>
      <c r="AQ490" s="1086">
        <v>0</v>
      </c>
      <c r="AR490" s="1086">
        <v>0</v>
      </c>
      <c r="AS490" s="1086">
        <v>57811.93</v>
      </c>
      <c r="AT490" s="1086">
        <f t="shared" si="30"/>
        <v>0</v>
      </c>
      <c r="AV490" s="1150">
        <f t="shared" si="31"/>
        <v>0</v>
      </c>
    </row>
    <row r="491" spans="1:48" x14ac:dyDescent="0.2">
      <c r="A491" s="19">
        <v>503</v>
      </c>
      <c r="B491" t="s">
        <v>1791</v>
      </c>
      <c r="C491" t="s">
        <v>2074</v>
      </c>
      <c r="D491" t="s">
        <v>1051</v>
      </c>
      <c r="E491" t="s">
        <v>2258</v>
      </c>
      <c r="F491" t="s">
        <v>2452</v>
      </c>
      <c r="H491" t="s">
        <v>3836</v>
      </c>
      <c r="I491">
        <v>0</v>
      </c>
      <c r="L491" t="s">
        <v>2996</v>
      </c>
      <c r="M491" s="1086">
        <v>27464</v>
      </c>
      <c r="N491" s="1086">
        <v>0</v>
      </c>
      <c r="O491" s="1086">
        <v>0</v>
      </c>
      <c r="P491" s="1086">
        <v>0</v>
      </c>
      <c r="Q491" s="1086">
        <v>0</v>
      </c>
      <c r="R491" s="1086">
        <v>0</v>
      </c>
      <c r="S491" s="1086">
        <v>0</v>
      </c>
      <c r="T491" s="1086">
        <v>0</v>
      </c>
      <c r="U491" s="1086">
        <v>0</v>
      </c>
      <c r="V491" s="1086">
        <v>0</v>
      </c>
      <c r="W491" s="1086">
        <v>0</v>
      </c>
      <c r="X491" s="1086">
        <v>0</v>
      </c>
      <c r="Y491" s="1086">
        <v>0</v>
      </c>
      <c r="Z491" s="1086">
        <v>0</v>
      </c>
      <c r="AA491" s="1086">
        <v>0</v>
      </c>
      <c r="AB491" s="1086">
        <v>0</v>
      </c>
      <c r="AC491" s="1086">
        <v>27464</v>
      </c>
      <c r="AD491" s="1086" t="s">
        <v>248</v>
      </c>
      <c r="AE491" s="1086" t="s">
        <v>3883</v>
      </c>
      <c r="AF491" s="1086">
        <f t="shared" si="29"/>
        <v>27464</v>
      </c>
      <c r="AG491" s="1086">
        <f t="shared" si="28"/>
        <v>0</v>
      </c>
      <c r="AQ491" s="1086">
        <v>0</v>
      </c>
      <c r="AR491" s="1086">
        <v>0</v>
      </c>
      <c r="AS491" s="1086">
        <v>27464</v>
      </c>
      <c r="AT491" s="1086">
        <f t="shared" si="30"/>
        <v>0</v>
      </c>
      <c r="AV491" s="1150">
        <f t="shared" si="31"/>
        <v>0</v>
      </c>
    </row>
    <row r="492" spans="1:48" x14ac:dyDescent="0.2">
      <c r="A492" s="19">
        <v>504</v>
      </c>
      <c r="B492" t="s">
        <v>1792</v>
      </c>
      <c r="C492" t="s">
        <v>2074</v>
      </c>
      <c r="D492" t="s">
        <v>1051</v>
      </c>
      <c r="E492" t="s">
        <v>2258</v>
      </c>
      <c r="F492" t="s">
        <v>2452</v>
      </c>
      <c r="H492" t="s">
        <v>3836</v>
      </c>
      <c r="I492">
        <v>0</v>
      </c>
      <c r="L492" t="s">
        <v>2997</v>
      </c>
      <c r="M492" s="1086">
        <v>102800.68</v>
      </c>
      <c r="N492" s="1086">
        <v>0</v>
      </c>
      <c r="O492" s="1086">
        <v>0</v>
      </c>
      <c r="P492" s="1086">
        <v>0</v>
      </c>
      <c r="Q492" s="1086">
        <v>0</v>
      </c>
      <c r="R492" s="1086">
        <v>0</v>
      </c>
      <c r="S492" s="1086">
        <v>0</v>
      </c>
      <c r="T492" s="1086">
        <v>0</v>
      </c>
      <c r="U492" s="1086">
        <v>0</v>
      </c>
      <c r="V492" s="1086">
        <v>0</v>
      </c>
      <c r="W492" s="1086">
        <v>0</v>
      </c>
      <c r="X492" s="1086">
        <v>0</v>
      </c>
      <c r="Y492" s="1086">
        <v>0</v>
      </c>
      <c r="Z492" s="1086">
        <v>0</v>
      </c>
      <c r="AA492" s="1086">
        <v>0</v>
      </c>
      <c r="AB492" s="1086">
        <v>0</v>
      </c>
      <c r="AC492" s="1086">
        <v>102800.68</v>
      </c>
      <c r="AD492" s="1086" t="s">
        <v>248</v>
      </c>
      <c r="AE492" s="1086" t="s">
        <v>3883</v>
      </c>
      <c r="AF492" s="1086">
        <f t="shared" si="29"/>
        <v>102800.68</v>
      </c>
      <c r="AG492" s="1086">
        <f t="shared" si="28"/>
        <v>0</v>
      </c>
      <c r="AQ492" s="1086">
        <v>0</v>
      </c>
      <c r="AR492" s="1086">
        <v>0</v>
      </c>
      <c r="AS492" s="1086">
        <v>102800.68</v>
      </c>
      <c r="AT492" s="1086">
        <f t="shared" si="30"/>
        <v>0</v>
      </c>
      <c r="AV492" s="1150">
        <f t="shared" si="31"/>
        <v>0</v>
      </c>
    </row>
    <row r="493" spans="1:48" x14ac:dyDescent="0.2">
      <c r="A493" s="19">
        <v>505</v>
      </c>
      <c r="B493" t="s">
        <v>1793</v>
      </c>
      <c r="C493" t="s">
        <v>2074</v>
      </c>
      <c r="D493" t="s">
        <v>1051</v>
      </c>
      <c r="E493" t="s">
        <v>2258</v>
      </c>
      <c r="F493" t="s">
        <v>2452</v>
      </c>
      <c r="H493" t="s">
        <v>3836</v>
      </c>
      <c r="I493">
        <v>0</v>
      </c>
      <c r="L493" t="s">
        <v>2998</v>
      </c>
      <c r="M493" s="1086">
        <v>73750</v>
      </c>
      <c r="N493" s="1086">
        <v>0</v>
      </c>
      <c r="O493" s="1086">
        <v>0</v>
      </c>
      <c r="P493" s="1086">
        <v>0</v>
      </c>
      <c r="Q493" s="1086">
        <v>0</v>
      </c>
      <c r="R493" s="1086">
        <v>0</v>
      </c>
      <c r="S493" s="1086">
        <v>0</v>
      </c>
      <c r="T493" s="1086">
        <v>0</v>
      </c>
      <c r="U493" s="1086">
        <v>0</v>
      </c>
      <c r="V493" s="1086">
        <v>0</v>
      </c>
      <c r="W493" s="1086">
        <v>0</v>
      </c>
      <c r="X493" s="1086">
        <v>0</v>
      </c>
      <c r="Y493" s="1086">
        <v>0</v>
      </c>
      <c r="Z493" s="1086">
        <v>0</v>
      </c>
      <c r="AA493" s="1086">
        <v>0</v>
      </c>
      <c r="AB493" s="1086">
        <v>0</v>
      </c>
      <c r="AC493" s="1086">
        <v>73750</v>
      </c>
      <c r="AD493" s="1086" t="s">
        <v>248</v>
      </c>
      <c r="AE493" s="1086" t="s">
        <v>3883</v>
      </c>
      <c r="AF493" s="1086">
        <f t="shared" si="29"/>
        <v>73750</v>
      </c>
      <c r="AG493" s="1086">
        <f t="shared" si="28"/>
        <v>0</v>
      </c>
      <c r="AQ493" s="1086">
        <v>0</v>
      </c>
      <c r="AR493" s="1086">
        <v>0</v>
      </c>
      <c r="AS493" s="1086">
        <v>73750</v>
      </c>
      <c r="AT493" s="1086">
        <f t="shared" si="30"/>
        <v>0</v>
      </c>
      <c r="AV493" s="1150">
        <f t="shared" si="31"/>
        <v>0</v>
      </c>
    </row>
    <row r="494" spans="1:48" x14ac:dyDescent="0.2">
      <c r="A494" s="19">
        <v>506</v>
      </c>
      <c r="B494" t="s">
        <v>1794</v>
      </c>
      <c r="C494" t="s">
        <v>2074</v>
      </c>
      <c r="D494" t="s">
        <v>1051</v>
      </c>
      <c r="E494" t="s">
        <v>2258</v>
      </c>
      <c r="F494" t="s">
        <v>2452</v>
      </c>
      <c r="H494" t="s">
        <v>3836</v>
      </c>
      <c r="I494">
        <v>0</v>
      </c>
      <c r="L494" t="s">
        <v>2999</v>
      </c>
      <c r="M494" s="1086">
        <v>26954.47</v>
      </c>
      <c r="N494" s="1086">
        <v>0</v>
      </c>
      <c r="O494" s="1086">
        <v>0</v>
      </c>
      <c r="P494" s="1086">
        <v>0</v>
      </c>
      <c r="Q494" s="1086">
        <v>0</v>
      </c>
      <c r="R494" s="1086">
        <v>0</v>
      </c>
      <c r="S494" s="1086">
        <v>0</v>
      </c>
      <c r="T494" s="1086">
        <v>0</v>
      </c>
      <c r="U494" s="1086">
        <v>0</v>
      </c>
      <c r="V494" s="1086">
        <v>0</v>
      </c>
      <c r="W494" s="1086">
        <v>0</v>
      </c>
      <c r="X494" s="1086">
        <v>0</v>
      </c>
      <c r="Y494" s="1086">
        <v>0</v>
      </c>
      <c r="Z494" s="1086">
        <v>0</v>
      </c>
      <c r="AA494" s="1086">
        <v>0</v>
      </c>
      <c r="AB494" s="1086">
        <v>0</v>
      </c>
      <c r="AC494" s="1086">
        <v>26954.47</v>
      </c>
      <c r="AD494" s="1086" t="s">
        <v>248</v>
      </c>
      <c r="AE494" s="1086" t="s">
        <v>3883</v>
      </c>
      <c r="AF494" s="1086">
        <f t="shared" si="29"/>
        <v>26954.47</v>
      </c>
      <c r="AG494" s="1086">
        <f t="shared" si="28"/>
        <v>0</v>
      </c>
      <c r="AQ494" s="1086">
        <v>0</v>
      </c>
      <c r="AR494" s="1086">
        <v>0</v>
      </c>
      <c r="AS494" s="1086">
        <v>26954.47</v>
      </c>
      <c r="AT494" s="1086">
        <f t="shared" si="30"/>
        <v>0</v>
      </c>
      <c r="AV494" s="1150">
        <f t="shared" si="31"/>
        <v>0</v>
      </c>
    </row>
    <row r="495" spans="1:48" x14ac:dyDescent="0.2">
      <c r="A495" s="19">
        <v>507</v>
      </c>
      <c r="B495" t="s">
        <v>1795</v>
      </c>
      <c r="C495" t="s">
        <v>2074</v>
      </c>
      <c r="D495" t="s">
        <v>1051</v>
      </c>
      <c r="E495" t="s">
        <v>2258</v>
      </c>
      <c r="F495" t="s">
        <v>2452</v>
      </c>
      <c r="H495" t="s">
        <v>3836</v>
      </c>
      <c r="I495">
        <v>0</v>
      </c>
      <c r="L495" t="s">
        <v>3000</v>
      </c>
      <c r="M495" s="1086">
        <v>21101.78</v>
      </c>
      <c r="N495" s="1086">
        <v>0</v>
      </c>
      <c r="O495" s="1086">
        <v>0</v>
      </c>
      <c r="P495" s="1086">
        <v>0</v>
      </c>
      <c r="Q495" s="1086">
        <v>0</v>
      </c>
      <c r="R495" s="1086">
        <v>0</v>
      </c>
      <c r="S495" s="1086">
        <v>0</v>
      </c>
      <c r="T495" s="1086">
        <v>0</v>
      </c>
      <c r="U495" s="1086">
        <v>0</v>
      </c>
      <c r="V495" s="1086">
        <v>0</v>
      </c>
      <c r="W495" s="1086">
        <v>0</v>
      </c>
      <c r="X495" s="1086">
        <v>0</v>
      </c>
      <c r="Y495" s="1086">
        <v>0</v>
      </c>
      <c r="Z495" s="1086">
        <v>0</v>
      </c>
      <c r="AA495" s="1086">
        <v>0</v>
      </c>
      <c r="AB495" s="1086">
        <v>0</v>
      </c>
      <c r="AC495" s="1086">
        <v>21101.78</v>
      </c>
      <c r="AD495" s="1086" t="s">
        <v>248</v>
      </c>
      <c r="AE495" s="1086" t="s">
        <v>3883</v>
      </c>
      <c r="AF495" s="1086">
        <f t="shared" si="29"/>
        <v>21101.78</v>
      </c>
      <c r="AG495" s="1086">
        <f t="shared" si="28"/>
        <v>0</v>
      </c>
      <c r="AQ495" s="1086">
        <v>0</v>
      </c>
      <c r="AR495" s="1086">
        <v>0</v>
      </c>
      <c r="AS495" s="1086">
        <v>21101.78</v>
      </c>
      <c r="AT495" s="1086">
        <f t="shared" si="30"/>
        <v>0</v>
      </c>
      <c r="AV495" s="1150">
        <f t="shared" si="31"/>
        <v>0</v>
      </c>
    </row>
    <row r="496" spans="1:48" x14ac:dyDescent="0.2">
      <c r="A496" s="19">
        <v>508</v>
      </c>
      <c r="B496" t="s">
        <v>1796</v>
      </c>
      <c r="C496" t="s">
        <v>2074</v>
      </c>
      <c r="D496" t="s">
        <v>1051</v>
      </c>
      <c r="E496" t="s">
        <v>2258</v>
      </c>
      <c r="F496" t="s">
        <v>2452</v>
      </c>
      <c r="H496" t="s">
        <v>3836</v>
      </c>
      <c r="I496">
        <v>0</v>
      </c>
      <c r="L496" t="s">
        <v>3001</v>
      </c>
      <c r="M496" s="1086">
        <v>15000</v>
      </c>
      <c r="N496" s="1086">
        <v>0</v>
      </c>
      <c r="O496" s="1086">
        <v>0</v>
      </c>
      <c r="P496" s="1086">
        <v>0</v>
      </c>
      <c r="Q496" s="1086">
        <v>0</v>
      </c>
      <c r="R496" s="1086">
        <v>0</v>
      </c>
      <c r="S496" s="1086">
        <v>0</v>
      </c>
      <c r="T496" s="1086">
        <v>0</v>
      </c>
      <c r="U496" s="1086">
        <v>0</v>
      </c>
      <c r="V496" s="1086">
        <v>0</v>
      </c>
      <c r="W496" s="1086">
        <v>0</v>
      </c>
      <c r="X496" s="1086">
        <v>0</v>
      </c>
      <c r="Y496" s="1086">
        <v>0</v>
      </c>
      <c r="Z496" s="1086">
        <v>0</v>
      </c>
      <c r="AA496" s="1086">
        <v>0</v>
      </c>
      <c r="AB496" s="1086">
        <v>0</v>
      </c>
      <c r="AC496" s="1086">
        <v>15000</v>
      </c>
      <c r="AD496" s="1086" t="s">
        <v>248</v>
      </c>
      <c r="AE496" s="1086" t="s">
        <v>3883</v>
      </c>
      <c r="AF496" s="1086">
        <f t="shared" si="29"/>
        <v>15000</v>
      </c>
      <c r="AG496" s="1086">
        <f t="shared" si="28"/>
        <v>0</v>
      </c>
      <c r="AQ496" s="1086">
        <v>0</v>
      </c>
      <c r="AR496" s="1086">
        <v>0</v>
      </c>
      <c r="AS496" s="1086">
        <v>15000</v>
      </c>
      <c r="AT496" s="1086">
        <f t="shared" si="30"/>
        <v>0</v>
      </c>
      <c r="AV496" s="1150">
        <f t="shared" si="31"/>
        <v>0</v>
      </c>
    </row>
    <row r="497" spans="1:48" x14ac:dyDescent="0.2">
      <c r="A497" s="19">
        <v>509</v>
      </c>
      <c r="B497" t="s">
        <v>1797</v>
      </c>
      <c r="C497" t="s">
        <v>2074</v>
      </c>
      <c r="D497" t="s">
        <v>1051</v>
      </c>
      <c r="E497" t="s">
        <v>2258</v>
      </c>
      <c r="F497" t="s">
        <v>2452</v>
      </c>
      <c r="H497" t="s">
        <v>3836</v>
      </c>
      <c r="I497">
        <v>0</v>
      </c>
      <c r="L497" t="s">
        <v>3002</v>
      </c>
      <c r="M497" s="1086">
        <v>10000</v>
      </c>
      <c r="N497" s="1086">
        <v>0</v>
      </c>
      <c r="O497" s="1086">
        <v>0</v>
      </c>
      <c r="P497" s="1086">
        <v>0</v>
      </c>
      <c r="Q497" s="1086">
        <v>0</v>
      </c>
      <c r="R497" s="1086">
        <v>0</v>
      </c>
      <c r="S497" s="1086">
        <v>0</v>
      </c>
      <c r="T497" s="1086">
        <v>0</v>
      </c>
      <c r="U497" s="1086">
        <v>0</v>
      </c>
      <c r="V497" s="1086">
        <v>0</v>
      </c>
      <c r="W497" s="1086">
        <v>0</v>
      </c>
      <c r="X497" s="1086">
        <v>0</v>
      </c>
      <c r="Y497" s="1086">
        <v>0</v>
      </c>
      <c r="Z497" s="1086">
        <v>0</v>
      </c>
      <c r="AA497" s="1086">
        <v>0</v>
      </c>
      <c r="AB497" s="1086">
        <v>0</v>
      </c>
      <c r="AC497" s="1086">
        <v>10000</v>
      </c>
      <c r="AD497" s="1086" t="s">
        <v>248</v>
      </c>
      <c r="AE497" s="1086" t="s">
        <v>3883</v>
      </c>
      <c r="AF497" s="1086">
        <f t="shared" si="29"/>
        <v>10000</v>
      </c>
      <c r="AG497" s="1086">
        <f t="shared" si="28"/>
        <v>0</v>
      </c>
      <c r="AQ497" s="1086">
        <v>0</v>
      </c>
      <c r="AR497" s="1086">
        <v>0</v>
      </c>
      <c r="AS497" s="1086">
        <v>10000</v>
      </c>
      <c r="AT497" s="1086">
        <f t="shared" si="30"/>
        <v>0</v>
      </c>
      <c r="AV497" s="1150">
        <f t="shared" si="31"/>
        <v>0</v>
      </c>
    </row>
    <row r="498" spans="1:48" x14ac:dyDescent="0.2">
      <c r="A498" s="19">
        <v>510</v>
      </c>
      <c r="B498" t="s">
        <v>1798</v>
      </c>
      <c r="C498" t="s">
        <v>2074</v>
      </c>
      <c r="D498" t="s">
        <v>1051</v>
      </c>
      <c r="E498" t="s">
        <v>2258</v>
      </c>
      <c r="F498" t="s">
        <v>2452</v>
      </c>
      <c r="H498" t="s">
        <v>3836</v>
      </c>
      <c r="I498">
        <v>0</v>
      </c>
      <c r="L498" t="s">
        <v>3003</v>
      </c>
      <c r="M498" s="1086">
        <v>18158.919999999998</v>
      </c>
      <c r="N498" s="1086">
        <v>0</v>
      </c>
      <c r="O498" s="1086">
        <v>0</v>
      </c>
      <c r="P498" s="1086">
        <v>0</v>
      </c>
      <c r="Q498" s="1086">
        <v>0</v>
      </c>
      <c r="R498" s="1086">
        <v>0</v>
      </c>
      <c r="S498" s="1086">
        <v>0</v>
      </c>
      <c r="T498" s="1086">
        <v>0</v>
      </c>
      <c r="U498" s="1086">
        <v>0</v>
      </c>
      <c r="V498" s="1086">
        <v>0</v>
      </c>
      <c r="W498" s="1086">
        <v>0</v>
      </c>
      <c r="X498" s="1086">
        <v>0</v>
      </c>
      <c r="Y498" s="1086">
        <v>0</v>
      </c>
      <c r="Z498" s="1086">
        <v>0</v>
      </c>
      <c r="AA498" s="1086">
        <v>0</v>
      </c>
      <c r="AB498" s="1086">
        <v>0</v>
      </c>
      <c r="AC498" s="1086">
        <v>18158.919999999998</v>
      </c>
      <c r="AD498" s="1086" t="s">
        <v>248</v>
      </c>
      <c r="AE498" s="1086" t="s">
        <v>3883</v>
      </c>
      <c r="AF498" s="1086">
        <f t="shared" si="29"/>
        <v>18158.919999999998</v>
      </c>
      <c r="AG498" s="1086">
        <f t="shared" si="28"/>
        <v>0</v>
      </c>
      <c r="AQ498" s="1086">
        <v>0</v>
      </c>
      <c r="AR498" s="1086">
        <v>0</v>
      </c>
      <c r="AS498" s="1086">
        <v>18158.919999999998</v>
      </c>
      <c r="AT498" s="1086">
        <f t="shared" si="30"/>
        <v>0</v>
      </c>
      <c r="AV498" s="1150">
        <f t="shared" si="31"/>
        <v>0</v>
      </c>
    </row>
    <row r="499" spans="1:48" x14ac:dyDescent="0.2">
      <c r="A499" s="19">
        <v>511</v>
      </c>
      <c r="B499" t="s">
        <v>1799</v>
      </c>
      <c r="C499" t="s">
        <v>2074</v>
      </c>
      <c r="D499" t="s">
        <v>1051</v>
      </c>
      <c r="E499" t="s">
        <v>2258</v>
      </c>
      <c r="F499" t="s">
        <v>2452</v>
      </c>
      <c r="H499" t="s">
        <v>3836</v>
      </c>
      <c r="I499">
        <v>0</v>
      </c>
      <c r="L499" t="s">
        <v>3004</v>
      </c>
      <c r="M499" s="1086">
        <v>49071</v>
      </c>
      <c r="N499" s="1086">
        <v>0</v>
      </c>
      <c r="O499" s="1086">
        <v>0</v>
      </c>
      <c r="P499" s="1086">
        <v>0</v>
      </c>
      <c r="Q499" s="1086">
        <v>0</v>
      </c>
      <c r="R499" s="1086">
        <v>0</v>
      </c>
      <c r="S499" s="1086">
        <v>0</v>
      </c>
      <c r="T499" s="1086">
        <v>0</v>
      </c>
      <c r="U499" s="1086">
        <v>0</v>
      </c>
      <c r="V499" s="1086">
        <v>0</v>
      </c>
      <c r="W499" s="1086">
        <v>0</v>
      </c>
      <c r="X499" s="1086">
        <v>0</v>
      </c>
      <c r="Y499" s="1086">
        <v>0</v>
      </c>
      <c r="Z499" s="1086">
        <v>0</v>
      </c>
      <c r="AA499" s="1086">
        <v>0</v>
      </c>
      <c r="AB499" s="1086">
        <v>0</v>
      </c>
      <c r="AC499" s="1086">
        <v>49071</v>
      </c>
      <c r="AD499" s="1086" t="s">
        <v>248</v>
      </c>
      <c r="AE499" s="1086" t="s">
        <v>3883</v>
      </c>
      <c r="AF499" s="1086">
        <f t="shared" si="29"/>
        <v>49071</v>
      </c>
      <c r="AG499" s="1086">
        <f t="shared" si="28"/>
        <v>0</v>
      </c>
      <c r="AQ499" s="1086">
        <v>0</v>
      </c>
      <c r="AR499" s="1086">
        <v>0</v>
      </c>
      <c r="AS499" s="1086">
        <v>49071</v>
      </c>
      <c r="AT499" s="1086">
        <f t="shared" si="30"/>
        <v>0</v>
      </c>
      <c r="AV499" s="1150">
        <f t="shared" si="31"/>
        <v>0</v>
      </c>
    </row>
    <row r="500" spans="1:48" x14ac:dyDescent="0.2">
      <c r="A500" s="19">
        <v>512</v>
      </c>
      <c r="B500" t="s">
        <v>1800</v>
      </c>
      <c r="C500" t="s">
        <v>2074</v>
      </c>
      <c r="D500" t="s">
        <v>1051</v>
      </c>
      <c r="E500" t="s">
        <v>2258</v>
      </c>
      <c r="F500" t="s">
        <v>2452</v>
      </c>
      <c r="H500" t="s">
        <v>3836</v>
      </c>
      <c r="I500">
        <v>0</v>
      </c>
      <c r="L500" t="s">
        <v>3005</v>
      </c>
      <c r="M500" s="1086">
        <v>20000</v>
      </c>
      <c r="N500" s="1086">
        <v>0</v>
      </c>
      <c r="O500" s="1086">
        <v>0</v>
      </c>
      <c r="P500" s="1086">
        <v>0</v>
      </c>
      <c r="Q500" s="1086">
        <v>0</v>
      </c>
      <c r="R500" s="1086">
        <v>0</v>
      </c>
      <c r="S500" s="1086">
        <v>0</v>
      </c>
      <c r="T500" s="1086">
        <v>0</v>
      </c>
      <c r="U500" s="1086">
        <v>0</v>
      </c>
      <c r="V500" s="1086">
        <v>0</v>
      </c>
      <c r="W500" s="1086">
        <v>0</v>
      </c>
      <c r="X500" s="1086">
        <v>0</v>
      </c>
      <c r="Y500" s="1086">
        <v>0</v>
      </c>
      <c r="Z500" s="1086">
        <v>0</v>
      </c>
      <c r="AA500" s="1086">
        <v>0</v>
      </c>
      <c r="AB500" s="1086">
        <v>0</v>
      </c>
      <c r="AC500" s="1086">
        <v>20000</v>
      </c>
      <c r="AD500" s="1086" t="s">
        <v>248</v>
      </c>
      <c r="AE500" s="1086" t="s">
        <v>3883</v>
      </c>
      <c r="AF500" s="1086">
        <f t="shared" si="29"/>
        <v>20000</v>
      </c>
      <c r="AG500" s="1086">
        <f t="shared" si="28"/>
        <v>0</v>
      </c>
      <c r="AQ500" s="1086">
        <v>0</v>
      </c>
      <c r="AR500" s="1086">
        <v>0</v>
      </c>
      <c r="AS500" s="1086">
        <v>20000</v>
      </c>
      <c r="AT500" s="1086">
        <f t="shared" si="30"/>
        <v>0</v>
      </c>
      <c r="AV500" s="1150">
        <f t="shared" si="31"/>
        <v>0</v>
      </c>
    </row>
    <row r="501" spans="1:48" x14ac:dyDescent="0.2">
      <c r="A501" s="19">
        <v>513</v>
      </c>
      <c r="B501" t="s">
        <v>1801</v>
      </c>
      <c r="C501" t="s">
        <v>2074</v>
      </c>
      <c r="D501" t="s">
        <v>1051</v>
      </c>
      <c r="E501" t="s">
        <v>2258</v>
      </c>
      <c r="F501" t="s">
        <v>2452</v>
      </c>
      <c r="H501" t="s">
        <v>3836</v>
      </c>
      <c r="I501">
        <v>0</v>
      </c>
      <c r="L501" t="s">
        <v>3006</v>
      </c>
      <c r="M501" s="1086">
        <v>112518.04</v>
      </c>
      <c r="N501" s="1086">
        <v>0</v>
      </c>
      <c r="O501" s="1086">
        <v>0</v>
      </c>
      <c r="P501" s="1086">
        <v>0</v>
      </c>
      <c r="Q501" s="1086">
        <v>0</v>
      </c>
      <c r="R501" s="1086">
        <v>0</v>
      </c>
      <c r="S501" s="1086">
        <v>0</v>
      </c>
      <c r="T501" s="1086">
        <v>0</v>
      </c>
      <c r="U501" s="1086">
        <v>0</v>
      </c>
      <c r="V501" s="1086">
        <v>0</v>
      </c>
      <c r="W501" s="1086">
        <v>0</v>
      </c>
      <c r="X501" s="1086">
        <v>0</v>
      </c>
      <c r="Y501" s="1086">
        <v>0</v>
      </c>
      <c r="Z501" s="1086">
        <v>0</v>
      </c>
      <c r="AA501" s="1086">
        <v>0</v>
      </c>
      <c r="AB501" s="1086">
        <v>0</v>
      </c>
      <c r="AC501" s="1086">
        <v>112518.04</v>
      </c>
      <c r="AD501" s="1086" t="s">
        <v>248</v>
      </c>
      <c r="AE501" s="1086" t="s">
        <v>3883</v>
      </c>
      <c r="AF501" s="1086">
        <f t="shared" si="29"/>
        <v>112518.04</v>
      </c>
      <c r="AG501" s="1086">
        <f t="shared" si="28"/>
        <v>0</v>
      </c>
      <c r="AQ501" s="1086">
        <v>0</v>
      </c>
      <c r="AR501" s="1086">
        <v>0</v>
      </c>
      <c r="AS501" s="1086">
        <v>112518.04</v>
      </c>
      <c r="AT501" s="1086">
        <f t="shared" si="30"/>
        <v>0</v>
      </c>
      <c r="AV501" s="1150">
        <f t="shared" si="31"/>
        <v>0</v>
      </c>
    </row>
    <row r="502" spans="1:48" x14ac:dyDescent="0.2">
      <c r="A502" s="19">
        <v>514</v>
      </c>
      <c r="B502" t="s">
        <v>1802</v>
      </c>
      <c r="C502" t="s">
        <v>2074</v>
      </c>
      <c r="D502" t="s">
        <v>1051</v>
      </c>
      <c r="E502" t="s">
        <v>2258</v>
      </c>
      <c r="F502" t="s">
        <v>2452</v>
      </c>
      <c r="H502" t="s">
        <v>3836</v>
      </c>
      <c r="I502">
        <v>0</v>
      </c>
      <c r="L502" t="s">
        <v>3007</v>
      </c>
      <c r="M502" s="1086">
        <v>26273.94</v>
      </c>
      <c r="N502" s="1086">
        <v>0</v>
      </c>
      <c r="O502" s="1086">
        <v>0</v>
      </c>
      <c r="P502" s="1086">
        <v>0</v>
      </c>
      <c r="Q502" s="1086">
        <v>0</v>
      </c>
      <c r="R502" s="1086">
        <v>0</v>
      </c>
      <c r="S502" s="1086">
        <v>0</v>
      </c>
      <c r="T502" s="1086">
        <v>0</v>
      </c>
      <c r="U502" s="1086">
        <v>0</v>
      </c>
      <c r="V502" s="1086">
        <v>0</v>
      </c>
      <c r="W502" s="1086">
        <v>0</v>
      </c>
      <c r="X502" s="1086">
        <v>0</v>
      </c>
      <c r="Y502" s="1086">
        <v>0</v>
      </c>
      <c r="Z502" s="1086">
        <v>0</v>
      </c>
      <c r="AA502" s="1086">
        <v>0</v>
      </c>
      <c r="AB502" s="1086">
        <v>0</v>
      </c>
      <c r="AC502" s="1086">
        <v>26273.94</v>
      </c>
      <c r="AD502" s="1086" t="s">
        <v>248</v>
      </c>
      <c r="AE502" s="1086" t="s">
        <v>3883</v>
      </c>
      <c r="AF502" s="1086">
        <f t="shared" si="29"/>
        <v>26273.94</v>
      </c>
      <c r="AG502" s="1086">
        <f t="shared" si="28"/>
        <v>0</v>
      </c>
      <c r="AQ502" s="1086">
        <v>0</v>
      </c>
      <c r="AR502" s="1086">
        <v>0</v>
      </c>
      <c r="AS502" s="1086">
        <v>26273.94</v>
      </c>
      <c r="AT502" s="1086">
        <f t="shared" si="30"/>
        <v>0</v>
      </c>
      <c r="AV502" s="1150">
        <f t="shared" si="31"/>
        <v>0</v>
      </c>
    </row>
    <row r="503" spans="1:48" x14ac:dyDescent="0.2">
      <c r="A503" s="19">
        <v>515</v>
      </c>
      <c r="B503" t="s">
        <v>1803</v>
      </c>
      <c r="C503" t="s">
        <v>2074</v>
      </c>
      <c r="D503" t="s">
        <v>1051</v>
      </c>
      <c r="E503" t="s">
        <v>2258</v>
      </c>
      <c r="F503" t="s">
        <v>2452</v>
      </c>
      <c r="H503" t="s">
        <v>3836</v>
      </c>
      <c r="I503">
        <v>0</v>
      </c>
      <c r="L503" t="s">
        <v>3008</v>
      </c>
      <c r="M503" s="1086">
        <v>124067.5</v>
      </c>
      <c r="N503" s="1086">
        <v>0</v>
      </c>
      <c r="O503" s="1086">
        <v>0</v>
      </c>
      <c r="P503" s="1086">
        <v>0</v>
      </c>
      <c r="Q503" s="1086">
        <v>0</v>
      </c>
      <c r="R503" s="1086">
        <v>0</v>
      </c>
      <c r="S503" s="1086">
        <v>0</v>
      </c>
      <c r="T503" s="1086">
        <v>0</v>
      </c>
      <c r="U503" s="1086">
        <v>0</v>
      </c>
      <c r="V503" s="1086">
        <v>0</v>
      </c>
      <c r="W503" s="1086">
        <v>0</v>
      </c>
      <c r="X503" s="1086">
        <v>0</v>
      </c>
      <c r="Y503" s="1086">
        <v>0</v>
      </c>
      <c r="Z503" s="1086">
        <v>0</v>
      </c>
      <c r="AA503" s="1086">
        <v>0</v>
      </c>
      <c r="AB503" s="1086">
        <v>0</v>
      </c>
      <c r="AC503" s="1086">
        <v>124067.5</v>
      </c>
      <c r="AD503" s="1086" t="s">
        <v>248</v>
      </c>
      <c r="AE503" s="1086" t="s">
        <v>3883</v>
      </c>
      <c r="AF503" s="1086">
        <f t="shared" si="29"/>
        <v>124067.5</v>
      </c>
      <c r="AG503" s="1086">
        <f t="shared" ref="AG503:AG566" si="32">AC503-AF503</f>
        <v>0</v>
      </c>
      <c r="AQ503" s="1086">
        <v>0</v>
      </c>
      <c r="AR503" s="1086">
        <v>0</v>
      </c>
      <c r="AS503" s="1086">
        <v>124067.5</v>
      </c>
      <c r="AT503" s="1086">
        <f t="shared" si="30"/>
        <v>0</v>
      </c>
      <c r="AV503" s="1150">
        <f t="shared" si="31"/>
        <v>0</v>
      </c>
    </row>
    <row r="504" spans="1:48" x14ac:dyDescent="0.2">
      <c r="A504" s="19">
        <v>516</v>
      </c>
      <c r="B504" t="s">
        <v>1804</v>
      </c>
      <c r="C504" t="s">
        <v>2074</v>
      </c>
      <c r="D504" t="s">
        <v>1051</v>
      </c>
      <c r="E504" t="s">
        <v>2258</v>
      </c>
      <c r="F504" t="s">
        <v>2452</v>
      </c>
      <c r="H504" t="s">
        <v>3836</v>
      </c>
      <c r="I504">
        <v>0</v>
      </c>
      <c r="L504" t="s">
        <v>3009</v>
      </c>
      <c r="M504" s="1086">
        <v>40000</v>
      </c>
      <c r="N504" s="1086">
        <v>0</v>
      </c>
      <c r="O504" s="1086">
        <v>0</v>
      </c>
      <c r="P504" s="1086">
        <v>0</v>
      </c>
      <c r="Q504" s="1086">
        <v>0</v>
      </c>
      <c r="R504" s="1086">
        <v>0</v>
      </c>
      <c r="S504" s="1086">
        <v>0</v>
      </c>
      <c r="T504" s="1086">
        <v>0</v>
      </c>
      <c r="U504" s="1086">
        <v>0</v>
      </c>
      <c r="V504" s="1086">
        <v>0</v>
      </c>
      <c r="W504" s="1086">
        <v>0</v>
      </c>
      <c r="X504" s="1086">
        <v>0</v>
      </c>
      <c r="Y504" s="1086">
        <v>0</v>
      </c>
      <c r="Z504" s="1086">
        <v>0</v>
      </c>
      <c r="AA504" s="1086">
        <v>0</v>
      </c>
      <c r="AB504" s="1086">
        <v>0</v>
      </c>
      <c r="AC504" s="1086">
        <v>40000</v>
      </c>
      <c r="AD504" s="1086" t="s">
        <v>248</v>
      </c>
      <c r="AE504" s="1086" t="s">
        <v>3883</v>
      </c>
      <c r="AF504" s="1086">
        <f t="shared" si="29"/>
        <v>40000</v>
      </c>
      <c r="AG504" s="1086">
        <f t="shared" si="32"/>
        <v>0</v>
      </c>
      <c r="AQ504" s="1086">
        <v>0</v>
      </c>
      <c r="AR504" s="1086">
        <v>0</v>
      </c>
      <c r="AS504" s="1086">
        <v>40000</v>
      </c>
      <c r="AT504" s="1086">
        <f t="shared" si="30"/>
        <v>0</v>
      </c>
      <c r="AV504" s="1150">
        <f t="shared" si="31"/>
        <v>0</v>
      </c>
    </row>
    <row r="505" spans="1:48" x14ac:dyDescent="0.2">
      <c r="A505" s="19">
        <v>517</v>
      </c>
      <c r="B505" t="s">
        <v>1805</v>
      </c>
      <c r="C505" t="s">
        <v>2074</v>
      </c>
      <c r="D505" t="s">
        <v>1051</v>
      </c>
      <c r="E505" t="s">
        <v>2258</v>
      </c>
      <c r="F505" t="s">
        <v>2452</v>
      </c>
      <c r="H505" t="s">
        <v>3836</v>
      </c>
      <c r="I505">
        <v>0</v>
      </c>
      <c r="L505" t="s">
        <v>3010</v>
      </c>
      <c r="M505" s="1086">
        <v>11275</v>
      </c>
      <c r="N505" s="1086">
        <v>0</v>
      </c>
      <c r="O505" s="1086">
        <v>0</v>
      </c>
      <c r="P505" s="1086">
        <v>0</v>
      </c>
      <c r="Q505" s="1086">
        <v>0</v>
      </c>
      <c r="R505" s="1086">
        <v>0</v>
      </c>
      <c r="S505" s="1086">
        <v>0</v>
      </c>
      <c r="T505" s="1086">
        <v>0</v>
      </c>
      <c r="U505" s="1086">
        <v>0</v>
      </c>
      <c r="V505" s="1086">
        <v>0</v>
      </c>
      <c r="W505" s="1086">
        <v>0</v>
      </c>
      <c r="X505" s="1086">
        <v>0</v>
      </c>
      <c r="Y505" s="1086">
        <v>0</v>
      </c>
      <c r="Z505" s="1086">
        <v>0</v>
      </c>
      <c r="AA505" s="1086">
        <v>0</v>
      </c>
      <c r="AB505" s="1086">
        <v>0</v>
      </c>
      <c r="AC505" s="1086">
        <v>11275</v>
      </c>
      <c r="AD505" s="1086" t="s">
        <v>248</v>
      </c>
      <c r="AE505" s="1086" t="s">
        <v>3883</v>
      </c>
      <c r="AF505" s="1086">
        <f t="shared" si="29"/>
        <v>11275</v>
      </c>
      <c r="AG505" s="1086">
        <f t="shared" si="32"/>
        <v>0</v>
      </c>
      <c r="AQ505" s="1086">
        <v>0</v>
      </c>
      <c r="AR505" s="1086">
        <v>0</v>
      </c>
      <c r="AS505" s="1086">
        <v>11275</v>
      </c>
      <c r="AT505" s="1086">
        <f t="shared" si="30"/>
        <v>0</v>
      </c>
      <c r="AV505" s="1150">
        <f t="shared" si="31"/>
        <v>0</v>
      </c>
    </row>
    <row r="506" spans="1:48" x14ac:dyDescent="0.2">
      <c r="A506" s="19">
        <v>518</v>
      </c>
      <c r="B506" t="s">
        <v>1806</v>
      </c>
      <c r="C506" t="s">
        <v>2074</v>
      </c>
      <c r="D506" t="s">
        <v>1051</v>
      </c>
      <c r="E506" t="s">
        <v>2258</v>
      </c>
      <c r="F506" t="s">
        <v>2452</v>
      </c>
      <c r="H506" t="s">
        <v>3836</v>
      </c>
      <c r="I506">
        <v>0</v>
      </c>
      <c r="L506" t="s">
        <v>3011</v>
      </c>
      <c r="M506" s="1086">
        <v>15000</v>
      </c>
      <c r="N506" s="1086">
        <v>0</v>
      </c>
      <c r="O506" s="1086">
        <v>0</v>
      </c>
      <c r="P506" s="1086">
        <v>0</v>
      </c>
      <c r="Q506" s="1086">
        <v>0</v>
      </c>
      <c r="R506" s="1086">
        <v>0</v>
      </c>
      <c r="S506" s="1086">
        <v>0</v>
      </c>
      <c r="T506" s="1086">
        <v>0</v>
      </c>
      <c r="U506" s="1086">
        <v>0</v>
      </c>
      <c r="V506" s="1086">
        <v>0</v>
      </c>
      <c r="W506" s="1086">
        <v>0</v>
      </c>
      <c r="X506" s="1086">
        <v>0</v>
      </c>
      <c r="Y506" s="1086">
        <v>0</v>
      </c>
      <c r="Z506" s="1086">
        <v>0</v>
      </c>
      <c r="AA506" s="1086">
        <v>0</v>
      </c>
      <c r="AB506" s="1086">
        <v>0</v>
      </c>
      <c r="AC506" s="1086">
        <v>15000</v>
      </c>
      <c r="AD506" s="1086" t="s">
        <v>248</v>
      </c>
      <c r="AE506" s="1086" t="s">
        <v>3883</v>
      </c>
      <c r="AF506" s="1086">
        <f t="shared" si="29"/>
        <v>15000</v>
      </c>
      <c r="AG506" s="1086">
        <f t="shared" si="32"/>
        <v>0</v>
      </c>
      <c r="AQ506" s="1086">
        <v>0</v>
      </c>
      <c r="AR506" s="1086">
        <v>0</v>
      </c>
      <c r="AS506" s="1086">
        <v>15000</v>
      </c>
      <c r="AT506" s="1086">
        <f t="shared" si="30"/>
        <v>0</v>
      </c>
      <c r="AV506" s="1150">
        <f t="shared" si="31"/>
        <v>0</v>
      </c>
    </row>
    <row r="507" spans="1:48" x14ac:dyDescent="0.2">
      <c r="A507" s="19">
        <v>519</v>
      </c>
      <c r="B507" t="s">
        <v>1807</v>
      </c>
      <c r="C507" t="s">
        <v>2074</v>
      </c>
      <c r="D507" t="s">
        <v>1051</v>
      </c>
      <c r="E507" t="s">
        <v>2258</v>
      </c>
      <c r="F507" t="s">
        <v>2452</v>
      </c>
      <c r="H507" t="s">
        <v>3836</v>
      </c>
      <c r="I507">
        <v>0</v>
      </c>
      <c r="L507" t="s">
        <v>3012</v>
      </c>
      <c r="M507" s="1086">
        <v>36645</v>
      </c>
      <c r="N507" s="1086">
        <v>0</v>
      </c>
      <c r="O507" s="1086">
        <v>0</v>
      </c>
      <c r="P507" s="1086">
        <v>0</v>
      </c>
      <c r="Q507" s="1086">
        <v>0</v>
      </c>
      <c r="R507" s="1086">
        <v>0</v>
      </c>
      <c r="S507" s="1086">
        <v>0</v>
      </c>
      <c r="T507" s="1086">
        <v>0</v>
      </c>
      <c r="U507" s="1086">
        <v>0</v>
      </c>
      <c r="V507" s="1086">
        <v>0</v>
      </c>
      <c r="W507" s="1086">
        <v>0</v>
      </c>
      <c r="X507" s="1086">
        <v>0</v>
      </c>
      <c r="Y507" s="1086">
        <v>0</v>
      </c>
      <c r="Z507" s="1086">
        <v>0</v>
      </c>
      <c r="AA507" s="1086">
        <v>0</v>
      </c>
      <c r="AB507" s="1086">
        <v>0</v>
      </c>
      <c r="AC507" s="1086">
        <v>36645</v>
      </c>
      <c r="AD507" s="1086" t="s">
        <v>248</v>
      </c>
      <c r="AE507" s="1086" t="s">
        <v>3883</v>
      </c>
      <c r="AF507" s="1086">
        <f t="shared" si="29"/>
        <v>36645</v>
      </c>
      <c r="AG507" s="1086">
        <f t="shared" si="32"/>
        <v>0</v>
      </c>
      <c r="AQ507" s="1086">
        <v>0</v>
      </c>
      <c r="AR507" s="1086">
        <v>0</v>
      </c>
      <c r="AS507" s="1086">
        <v>36645</v>
      </c>
      <c r="AT507" s="1086">
        <f t="shared" si="30"/>
        <v>0</v>
      </c>
      <c r="AV507" s="1150">
        <f t="shared" si="31"/>
        <v>0</v>
      </c>
    </row>
    <row r="508" spans="1:48" x14ac:dyDescent="0.2">
      <c r="A508" s="19">
        <v>520</v>
      </c>
      <c r="B508" t="s">
        <v>1808</v>
      </c>
      <c r="C508" t="s">
        <v>2074</v>
      </c>
      <c r="D508" t="s">
        <v>1051</v>
      </c>
      <c r="E508" t="s">
        <v>2258</v>
      </c>
      <c r="F508" t="s">
        <v>2452</v>
      </c>
      <c r="H508" t="s">
        <v>3836</v>
      </c>
      <c r="I508">
        <v>0</v>
      </c>
      <c r="L508" t="s">
        <v>3013</v>
      </c>
      <c r="M508" s="1086">
        <v>265173.95</v>
      </c>
      <c r="N508" s="1086">
        <v>0</v>
      </c>
      <c r="O508" s="1086">
        <v>0</v>
      </c>
      <c r="P508" s="1086">
        <v>0</v>
      </c>
      <c r="Q508" s="1086">
        <v>0</v>
      </c>
      <c r="R508" s="1086">
        <v>0</v>
      </c>
      <c r="S508" s="1086">
        <v>0</v>
      </c>
      <c r="T508" s="1086">
        <v>0</v>
      </c>
      <c r="U508" s="1086">
        <v>0</v>
      </c>
      <c r="V508" s="1086">
        <v>0</v>
      </c>
      <c r="W508" s="1086">
        <v>0</v>
      </c>
      <c r="X508" s="1086">
        <v>0</v>
      </c>
      <c r="Y508" s="1086">
        <v>0</v>
      </c>
      <c r="Z508" s="1086">
        <v>0</v>
      </c>
      <c r="AA508" s="1086">
        <v>0</v>
      </c>
      <c r="AB508" s="1086">
        <v>0</v>
      </c>
      <c r="AC508" s="1086">
        <v>265173.95</v>
      </c>
      <c r="AD508" s="1086" t="s">
        <v>248</v>
      </c>
      <c r="AE508" s="1086" t="s">
        <v>3883</v>
      </c>
      <c r="AF508" s="1086">
        <f t="shared" si="29"/>
        <v>265173.95</v>
      </c>
      <c r="AG508" s="1086">
        <f t="shared" si="32"/>
        <v>0</v>
      </c>
      <c r="AQ508" s="1086">
        <v>0</v>
      </c>
      <c r="AR508" s="1086">
        <v>0</v>
      </c>
      <c r="AS508" s="1086">
        <v>265173.95</v>
      </c>
      <c r="AT508" s="1086">
        <f t="shared" si="30"/>
        <v>0</v>
      </c>
      <c r="AV508" s="1150">
        <f t="shared" si="31"/>
        <v>0</v>
      </c>
    </row>
    <row r="509" spans="1:48" x14ac:dyDescent="0.2">
      <c r="A509" s="19">
        <v>521</v>
      </c>
      <c r="B509" t="s">
        <v>1809</v>
      </c>
      <c r="C509" t="s">
        <v>2074</v>
      </c>
      <c r="D509" t="s">
        <v>1051</v>
      </c>
      <c r="E509" t="s">
        <v>2258</v>
      </c>
      <c r="F509" t="s">
        <v>2452</v>
      </c>
      <c r="H509" t="s">
        <v>3836</v>
      </c>
      <c r="I509">
        <v>0</v>
      </c>
      <c r="L509" t="s">
        <v>3014</v>
      </c>
      <c r="M509" s="1086">
        <v>303650</v>
      </c>
      <c r="N509" s="1086">
        <v>0</v>
      </c>
      <c r="O509" s="1086">
        <v>0</v>
      </c>
      <c r="P509" s="1086">
        <v>0</v>
      </c>
      <c r="Q509" s="1086">
        <v>0</v>
      </c>
      <c r="R509" s="1086">
        <v>0</v>
      </c>
      <c r="S509" s="1086">
        <v>0</v>
      </c>
      <c r="T509" s="1086">
        <v>0</v>
      </c>
      <c r="U509" s="1086">
        <v>0</v>
      </c>
      <c r="V509" s="1086">
        <v>0</v>
      </c>
      <c r="W509" s="1086">
        <v>0</v>
      </c>
      <c r="X509" s="1086">
        <v>0</v>
      </c>
      <c r="Y509" s="1086">
        <v>0</v>
      </c>
      <c r="Z509" s="1086">
        <v>0</v>
      </c>
      <c r="AA509" s="1086">
        <v>0</v>
      </c>
      <c r="AB509" s="1086">
        <v>0</v>
      </c>
      <c r="AC509" s="1086">
        <v>303650</v>
      </c>
      <c r="AD509" s="1086" t="s">
        <v>248</v>
      </c>
      <c r="AE509" s="1086" t="s">
        <v>3883</v>
      </c>
      <c r="AF509" s="1086">
        <f t="shared" si="29"/>
        <v>303650</v>
      </c>
      <c r="AG509" s="1086">
        <f t="shared" si="32"/>
        <v>0</v>
      </c>
      <c r="AQ509" s="1086">
        <v>0</v>
      </c>
      <c r="AR509" s="1086">
        <v>0</v>
      </c>
      <c r="AS509" s="1086">
        <v>303650</v>
      </c>
      <c r="AT509" s="1086">
        <f t="shared" si="30"/>
        <v>0</v>
      </c>
      <c r="AV509" s="1150">
        <f t="shared" si="31"/>
        <v>0</v>
      </c>
    </row>
    <row r="510" spans="1:48" x14ac:dyDescent="0.2">
      <c r="A510" s="19">
        <v>522</v>
      </c>
      <c r="B510" t="s">
        <v>1810</v>
      </c>
      <c r="C510" t="s">
        <v>2074</v>
      </c>
      <c r="D510" t="s">
        <v>1051</v>
      </c>
      <c r="E510" t="s">
        <v>2258</v>
      </c>
      <c r="F510" t="s">
        <v>2452</v>
      </c>
      <c r="H510" t="s">
        <v>3836</v>
      </c>
      <c r="I510">
        <v>0</v>
      </c>
      <c r="L510" t="s">
        <v>3015</v>
      </c>
      <c r="M510" s="1086">
        <v>1044604.98</v>
      </c>
      <c r="N510" s="1086">
        <v>0</v>
      </c>
      <c r="O510" s="1086">
        <v>0</v>
      </c>
      <c r="P510" s="1086">
        <v>0</v>
      </c>
      <c r="Q510" s="1086">
        <v>0</v>
      </c>
      <c r="R510" s="1086">
        <v>0</v>
      </c>
      <c r="S510" s="1086">
        <v>0</v>
      </c>
      <c r="T510" s="1086">
        <v>0</v>
      </c>
      <c r="U510" s="1086">
        <v>0</v>
      </c>
      <c r="V510" s="1086">
        <v>0</v>
      </c>
      <c r="W510" s="1086">
        <v>0</v>
      </c>
      <c r="X510" s="1086">
        <v>0</v>
      </c>
      <c r="Y510" s="1086">
        <v>0</v>
      </c>
      <c r="Z510" s="1086">
        <v>0</v>
      </c>
      <c r="AA510" s="1086">
        <v>0</v>
      </c>
      <c r="AB510" s="1086">
        <v>0</v>
      </c>
      <c r="AC510" s="1086">
        <v>1044604.98</v>
      </c>
      <c r="AD510" s="1086" t="s">
        <v>248</v>
      </c>
      <c r="AE510" s="1086" t="s">
        <v>3883</v>
      </c>
      <c r="AF510" s="1086">
        <f t="shared" si="29"/>
        <v>1044604.98</v>
      </c>
      <c r="AG510" s="1086">
        <f t="shared" si="32"/>
        <v>0</v>
      </c>
      <c r="AQ510" s="1086">
        <v>0</v>
      </c>
      <c r="AR510" s="1086">
        <v>0</v>
      </c>
      <c r="AS510" s="1086">
        <v>1044604.98</v>
      </c>
      <c r="AT510" s="1086">
        <f t="shared" si="30"/>
        <v>0</v>
      </c>
      <c r="AV510" s="1150">
        <f t="shared" si="31"/>
        <v>0</v>
      </c>
    </row>
    <row r="511" spans="1:48" x14ac:dyDescent="0.2">
      <c r="A511" s="19">
        <v>523</v>
      </c>
      <c r="B511" t="s">
        <v>1811</v>
      </c>
      <c r="C511" t="s">
        <v>2074</v>
      </c>
      <c r="D511" t="s">
        <v>1051</v>
      </c>
      <c r="E511" t="s">
        <v>2258</v>
      </c>
      <c r="F511" t="s">
        <v>2452</v>
      </c>
      <c r="H511" t="s">
        <v>3836</v>
      </c>
      <c r="I511">
        <v>0</v>
      </c>
      <c r="L511" t="s">
        <v>3016</v>
      </c>
      <c r="M511" s="1086">
        <v>11650</v>
      </c>
      <c r="N511" s="1086">
        <v>0</v>
      </c>
      <c r="O511" s="1086">
        <v>0</v>
      </c>
      <c r="P511" s="1086">
        <v>0</v>
      </c>
      <c r="Q511" s="1086">
        <v>0</v>
      </c>
      <c r="R511" s="1086">
        <v>0</v>
      </c>
      <c r="S511" s="1086">
        <v>0</v>
      </c>
      <c r="T511" s="1086">
        <v>0</v>
      </c>
      <c r="U511" s="1086">
        <v>0</v>
      </c>
      <c r="V511" s="1086">
        <v>0</v>
      </c>
      <c r="W511" s="1086">
        <v>0</v>
      </c>
      <c r="X511" s="1086">
        <v>0</v>
      </c>
      <c r="Y511" s="1086">
        <v>0</v>
      </c>
      <c r="Z511" s="1086">
        <v>0</v>
      </c>
      <c r="AA511" s="1086">
        <v>0</v>
      </c>
      <c r="AB511" s="1086">
        <v>0</v>
      </c>
      <c r="AC511" s="1086">
        <v>11650</v>
      </c>
      <c r="AD511" s="1086" t="s">
        <v>248</v>
      </c>
      <c r="AE511" s="1086" t="s">
        <v>3883</v>
      </c>
      <c r="AF511" s="1086">
        <f t="shared" si="29"/>
        <v>11650</v>
      </c>
      <c r="AG511" s="1086">
        <f t="shared" si="32"/>
        <v>0</v>
      </c>
      <c r="AQ511" s="1086">
        <v>0</v>
      </c>
      <c r="AR511" s="1086">
        <v>0</v>
      </c>
      <c r="AS511" s="1086">
        <v>11650</v>
      </c>
      <c r="AT511" s="1086">
        <f t="shared" si="30"/>
        <v>0</v>
      </c>
      <c r="AV511" s="1150">
        <f t="shared" si="31"/>
        <v>0</v>
      </c>
    </row>
    <row r="512" spans="1:48" x14ac:dyDescent="0.2">
      <c r="A512" s="19">
        <v>524</v>
      </c>
      <c r="B512" t="s">
        <v>1812</v>
      </c>
      <c r="C512" t="s">
        <v>2074</v>
      </c>
      <c r="D512" t="s">
        <v>1051</v>
      </c>
      <c r="E512" t="s">
        <v>2258</v>
      </c>
      <c r="F512" t="s">
        <v>2452</v>
      </c>
      <c r="H512" t="s">
        <v>3836</v>
      </c>
      <c r="I512">
        <v>0</v>
      </c>
      <c r="L512" t="s">
        <v>3017</v>
      </c>
      <c r="M512" s="1086">
        <v>50000</v>
      </c>
      <c r="N512" s="1086">
        <v>0</v>
      </c>
      <c r="O512" s="1086">
        <v>0</v>
      </c>
      <c r="P512" s="1086">
        <v>0</v>
      </c>
      <c r="Q512" s="1086">
        <v>0</v>
      </c>
      <c r="R512" s="1086">
        <v>0</v>
      </c>
      <c r="S512" s="1086">
        <v>0</v>
      </c>
      <c r="T512" s="1086">
        <v>0</v>
      </c>
      <c r="U512" s="1086">
        <v>0</v>
      </c>
      <c r="V512" s="1086">
        <v>0</v>
      </c>
      <c r="W512" s="1086">
        <v>0</v>
      </c>
      <c r="X512" s="1086">
        <v>0</v>
      </c>
      <c r="Y512" s="1086">
        <v>0</v>
      </c>
      <c r="Z512" s="1086">
        <v>0</v>
      </c>
      <c r="AA512" s="1086">
        <v>0</v>
      </c>
      <c r="AB512" s="1086">
        <v>0</v>
      </c>
      <c r="AC512" s="1086">
        <v>50000</v>
      </c>
      <c r="AD512" s="1086" t="s">
        <v>248</v>
      </c>
      <c r="AE512" s="1086" t="s">
        <v>3883</v>
      </c>
      <c r="AF512" s="1086">
        <f t="shared" si="29"/>
        <v>50000</v>
      </c>
      <c r="AG512" s="1086">
        <f t="shared" si="32"/>
        <v>0</v>
      </c>
      <c r="AQ512" s="1086">
        <v>0</v>
      </c>
      <c r="AR512" s="1086">
        <v>0</v>
      </c>
      <c r="AS512" s="1086">
        <v>50000</v>
      </c>
      <c r="AT512" s="1086">
        <f t="shared" si="30"/>
        <v>0</v>
      </c>
      <c r="AV512" s="1150">
        <f t="shared" si="31"/>
        <v>0</v>
      </c>
    </row>
    <row r="513" spans="1:48" x14ac:dyDescent="0.2">
      <c r="A513" s="19">
        <v>525</v>
      </c>
      <c r="B513" t="s">
        <v>1813</v>
      </c>
      <c r="C513" t="s">
        <v>2074</v>
      </c>
      <c r="D513" t="s">
        <v>1051</v>
      </c>
      <c r="E513" t="s">
        <v>2258</v>
      </c>
      <c r="F513" t="s">
        <v>2452</v>
      </c>
      <c r="H513" t="s">
        <v>3836</v>
      </c>
      <c r="I513">
        <v>0</v>
      </c>
      <c r="L513" t="s">
        <v>3018</v>
      </c>
      <c r="M513" s="1086">
        <v>24133</v>
      </c>
      <c r="N513" s="1086">
        <v>0</v>
      </c>
      <c r="O513" s="1086">
        <v>0</v>
      </c>
      <c r="P513" s="1086">
        <v>0</v>
      </c>
      <c r="Q513" s="1086">
        <v>0</v>
      </c>
      <c r="R513" s="1086">
        <v>0</v>
      </c>
      <c r="S513" s="1086">
        <v>0</v>
      </c>
      <c r="T513" s="1086">
        <v>0</v>
      </c>
      <c r="U513" s="1086">
        <v>0</v>
      </c>
      <c r="V513" s="1086">
        <v>0</v>
      </c>
      <c r="W513" s="1086">
        <v>0</v>
      </c>
      <c r="X513" s="1086">
        <v>0</v>
      </c>
      <c r="Y513" s="1086">
        <v>0</v>
      </c>
      <c r="Z513" s="1086">
        <v>0</v>
      </c>
      <c r="AA513" s="1086">
        <v>0</v>
      </c>
      <c r="AB513" s="1086">
        <v>0</v>
      </c>
      <c r="AC513" s="1086">
        <v>24133</v>
      </c>
      <c r="AD513" s="1086" t="s">
        <v>248</v>
      </c>
      <c r="AE513" s="1086" t="s">
        <v>3883</v>
      </c>
      <c r="AF513" s="1086">
        <f t="shared" si="29"/>
        <v>24133</v>
      </c>
      <c r="AG513" s="1086">
        <f t="shared" si="32"/>
        <v>0</v>
      </c>
      <c r="AQ513" s="1086">
        <v>0</v>
      </c>
      <c r="AR513" s="1086">
        <v>0</v>
      </c>
      <c r="AS513" s="1086">
        <v>24133</v>
      </c>
      <c r="AT513" s="1086">
        <f t="shared" si="30"/>
        <v>0</v>
      </c>
      <c r="AV513" s="1150">
        <f t="shared" si="31"/>
        <v>0</v>
      </c>
    </row>
    <row r="514" spans="1:48" x14ac:dyDescent="0.2">
      <c r="A514" s="19">
        <v>526</v>
      </c>
      <c r="B514" t="s">
        <v>1814</v>
      </c>
      <c r="C514" t="s">
        <v>2074</v>
      </c>
      <c r="D514" t="s">
        <v>1051</v>
      </c>
      <c r="E514" t="s">
        <v>2258</v>
      </c>
      <c r="F514" t="s">
        <v>2452</v>
      </c>
      <c r="H514" t="s">
        <v>3836</v>
      </c>
      <c r="I514">
        <v>0</v>
      </c>
      <c r="L514" t="s">
        <v>3019</v>
      </c>
      <c r="M514" s="1086">
        <v>39682.49</v>
      </c>
      <c r="N514" s="1086">
        <v>0</v>
      </c>
      <c r="O514" s="1086">
        <v>0</v>
      </c>
      <c r="P514" s="1086">
        <v>0</v>
      </c>
      <c r="Q514" s="1086">
        <v>0</v>
      </c>
      <c r="R514" s="1086">
        <v>0</v>
      </c>
      <c r="S514" s="1086">
        <v>0</v>
      </c>
      <c r="T514" s="1086">
        <v>0</v>
      </c>
      <c r="U514" s="1086">
        <v>0</v>
      </c>
      <c r="V514" s="1086">
        <v>0</v>
      </c>
      <c r="W514" s="1086">
        <v>0</v>
      </c>
      <c r="X514" s="1086">
        <v>0</v>
      </c>
      <c r="Y514" s="1086">
        <v>0</v>
      </c>
      <c r="Z514" s="1086">
        <v>0</v>
      </c>
      <c r="AA514" s="1086">
        <v>0</v>
      </c>
      <c r="AB514" s="1086">
        <v>0</v>
      </c>
      <c r="AC514" s="1086">
        <v>39682.49</v>
      </c>
      <c r="AD514" s="1086" t="s">
        <v>248</v>
      </c>
      <c r="AE514" s="1086" t="s">
        <v>3883</v>
      </c>
      <c r="AF514" s="1086">
        <f t="shared" si="29"/>
        <v>39682.49</v>
      </c>
      <c r="AG514" s="1086">
        <f t="shared" si="32"/>
        <v>0</v>
      </c>
      <c r="AQ514" s="1086">
        <v>0</v>
      </c>
      <c r="AR514" s="1086">
        <v>0</v>
      </c>
      <c r="AS514" s="1086">
        <v>39682.49</v>
      </c>
      <c r="AT514" s="1086">
        <f t="shared" si="30"/>
        <v>0</v>
      </c>
      <c r="AV514" s="1150">
        <f t="shared" si="31"/>
        <v>0</v>
      </c>
    </row>
    <row r="515" spans="1:48" x14ac:dyDescent="0.2">
      <c r="A515" s="19">
        <v>527</v>
      </c>
      <c r="B515" t="s">
        <v>1815</v>
      </c>
      <c r="C515" t="s">
        <v>2074</v>
      </c>
      <c r="D515" t="s">
        <v>1051</v>
      </c>
      <c r="E515" t="s">
        <v>2258</v>
      </c>
      <c r="F515" t="s">
        <v>2452</v>
      </c>
      <c r="H515" t="s">
        <v>3836</v>
      </c>
      <c r="I515">
        <v>0</v>
      </c>
      <c r="L515" t="s">
        <v>3020</v>
      </c>
      <c r="M515" s="1086">
        <v>15179.97</v>
      </c>
      <c r="N515" s="1086">
        <v>0</v>
      </c>
      <c r="O515" s="1086">
        <v>0</v>
      </c>
      <c r="P515" s="1086">
        <v>0</v>
      </c>
      <c r="Q515" s="1086">
        <v>0</v>
      </c>
      <c r="R515" s="1086">
        <v>0</v>
      </c>
      <c r="S515" s="1086">
        <v>0</v>
      </c>
      <c r="T515" s="1086">
        <v>0</v>
      </c>
      <c r="U515" s="1086">
        <v>0</v>
      </c>
      <c r="V515" s="1086">
        <v>0</v>
      </c>
      <c r="W515" s="1086">
        <v>0</v>
      </c>
      <c r="X515" s="1086">
        <v>0</v>
      </c>
      <c r="Y515" s="1086">
        <v>0</v>
      </c>
      <c r="Z515" s="1086">
        <v>0</v>
      </c>
      <c r="AA515" s="1086">
        <v>0</v>
      </c>
      <c r="AB515" s="1086">
        <v>0</v>
      </c>
      <c r="AC515" s="1086">
        <v>15179.97</v>
      </c>
      <c r="AD515" s="1086" t="s">
        <v>248</v>
      </c>
      <c r="AE515" s="1086" t="s">
        <v>3883</v>
      </c>
      <c r="AF515" s="1086">
        <f t="shared" si="29"/>
        <v>15179.97</v>
      </c>
      <c r="AG515" s="1086">
        <f t="shared" si="32"/>
        <v>0</v>
      </c>
      <c r="AQ515" s="1086">
        <v>0</v>
      </c>
      <c r="AR515" s="1086">
        <v>0</v>
      </c>
      <c r="AS515" s="1086">
        <v>15179.97</v>
      </c>
      <c r="AT515" s="1086">
        <f t="shared" si="30"/>
        <v>0</v>
      </c>
      <c r="AV515" s="1150">
        <f t="shared" si="31"/>
        <v>0</v>
      </c>
    </row>
    <row r="516" spans="1:48" x14ac:dyDescent="0.2">
      <c r="A516" s="19">
        <v>528</v>
      </c>
      <c r="B516" t="s">
        <v>1816</v>
      </c>
      <c r="C516" t="s">
        <v>2074</v>
      </c>
      <c r="D516" t="s">
        <v>1051</v>
      </c>
      <c r="E516" t="s">
        <v>2258</v>
      </c>
      <c r="F516" t="s">
        <v>2452</v>
      </c>
      <c r="H516" t="s">
        <v>3836</v>
      </c>
      <c r="I516">
        <v>0</v>
      </c>
      <c r="L516" t="s">
        <v>3021</v>
      </c>
      <c r="M516" s="1086">
        <v>14924</v>
      </c>
      <c r="N516" s="1086">
        <v>0</v>
      </c>
      <c r="O516" s="1086">
        <v>0</v>
      </c>
      <c r="P516" s="1086">
        <v>0</v>
      </c>
      <c r="Q516" s="1086">
        <v>0</v>
      </c>
      <c r="R516" s="1086">
        <v>0</v>
      </c>
      <c r="S516" s="1086">
        <v>0</v>
      </c>
      <c r="T516" s="1086">
        <v>0</v>
      </c>
      <c r="U516" s="1086">
        <v>0</v>
      </c>
      <c r="V516" s="1086">
        <v>0</v>
      </c>
      <c r="W516" s="1086">
        <v>0</v>
      </c>
      <c r="X516" s="1086">
        <v>0</v>
      </c>
      <c r="Y516" s="1086">
        <v>0</v>
      </c>
      <c r="Z516" s="1086">
        <v>0</v>
      </c>
      <c r="AA516" s="1086">
        <v>0</v>
      </c>
      <c r="AB516" s="1086">
        <v>0</v>
      </c>
      <c r="AC516" s="1086">
        <v>14924</v>
      </c>
      <c r="AD516" s="1086" t="s">
        <v>248</v>
      </c>
      <c r="AE516" s="1086" t="s">
        <v>3883</v>
      </c>
      <c r="AF516" s="1086">
        <f t="shared" si="29"/>
        <v>14924</v>
      </c>
      <c r="AG516" s="1086">
        <f t="shared" si="32"/>
        <v>0</v>
      </c>
      <c r="AQ516" s="1086">
        <v>0</v>
      </c>
      <c r="AR516" s="1086">
        <v>0</v>
      </c>
      <c r="AS516" s="1086">
        <v>14924</v>
      </c>
      <c r="AT516" s="1086">
        <f t="shared" si="30"/>
        <v>0</v>
      </c>
      <c r="AV516" s="1150">
        <f t="shared" si="31"/>
        <v>0</v>
      </c>
    </row>
    <row r="517" spans="1:48" x14ac:dyDescent="0.2">
      <c r="A517" s="19">
        <v>529</v>
      </c>
      <c r="B517" t="s">
        <v>1817</v>
      </c>
      <c r="C517" t="s">
        <v>2074</v>
      </c>
      <c r="D517" t="s">
        <v>1051</v>
      </c>
      <c r="E517" t="s">
        <v>2258</v>
      </c>
      <c r="F517" t="s">
        <v>2452</v>
      </c>
      <c r="H517" t="s">
        <v>3836</v>
      </c>
      <c r="I517">
        <v>0</v>
      </c>
      <c r="L517" t="s">
        <v>3022</v>
      </c>
      <c r="M517" s="1086">
        <v>55282.54</v>
      </c>
      <c r="N517" s="1086">
        <v>0</v>
      </c>
      <c r="O517" s="1086">
        <v>0</v>
      </c>
      <c r="P517" s="1086">
        <v>0</v>
      </c>
      <c r="Q517" s="1086">
        <v>0</v>
      </c>
      <c r="R517" s="1086">
        <v>0</v>
      </c>
      <c r="S517" s="1086">
        <v>0</v>
      </c>
      <c r="T517" s="1086">
        <v>0</v>
      </c>
      <c r="U517" s="1086">
        <v>0</v>
      </c>
      <c r="V517" s="1086">
        <v>0</v>
      </c>
      <c r="W517" s="1086">
        <v>0</v>
      </c>
      <c r="X517" s="1086">
        <v>0</v>
      </c>
      <c r="Y517" s="1086">
        <v>0</v>
      </c>
      <c r="Z517" s="1086">
        <v>0</v>
      </c>
      <c r="AA517" s="1086">
        <v>0</v>
      </c>
      <c r="AB517" s="1086">
        <v>0</v>
      </c>
      <c r="AC517" s="1086">
        <v>55282.54</v>
      </c>
      <c r="AD517" s="1086" t="s">
        <v>248</v>
      </c>
      <c r="AE517" s="1086" t="s">
        <v>3883</v>
      </c>
      <c r="AF517" s="1086">
        <f t="shared" si="29"/>
        <v>55282.54</v>
      </c>
      <c r="AG517" s="1086">
        <f t="shared" si="32"/>
        <v>0</v>
      </c>
      <c r="AQ517" s="1086">
        <v>0</v>
      </c>
      <c r="AR517" s="1086">
        <v>0</v>
      </c>
      <c r="AS517" s="1086">
        <v>55282.54</v>
      </c>
      <c r="AT517" s="1086">
        <f t="shared" si="30"/>
        <v>0</v>
      </c>
      <c r="AV517" s="1150">
        <f t="shared" si="31"/>
        <v>0</v>
      </c>
    </row>
    <row r="518" spans="1:48" x14ac:dyDescent="0.2">
      <c r="A518" s="19">
        <v>530</v>
      </c>
      <c r="B518" t="s">
        <v>1818</v>
      </c>
      <c r="C518" t="s">
        <v>2074</v>
      </c>
      <c r="D518" t="s">
        <v>1051</v>
      </c>
      <c r="E518" t="s">
        <v>2258</v>
      </c>
      <c r="F518" t="s">
        <v>2452</v>
      </c>
      <c r="H518" t="s">
        <v>3836</v>
      </c>
      <c r="I518">
        <v>0</v>
      </c>
      <c r="L518" t="s">
        <v>3023</v>
      </c>
      <c r="M518" s="1086">
        <v>511792.15</v>
      </c>
      <c r="N518" s="1086">
        <v>0</v>
      </c>
      <c r="O518" s="1086">
        <v>0</v>
      </c>
      <c r="P518" s="1086">
        <v>0</v>
      </c>
      <c r="Q518" s="1086">
        <v>0</v>
      </c>
      <c r="R518" s="1086">
        <v>0</v>
      </c>
      <c r="S518" s="1086">
        <v>0</v>
      </c>
      <c r="T518" s="1086">
        <v>0</v>
      </c>
      <c r="U518" s="1086">
        <v>0</v>
      </c>
      <c r="V518" s="1086">
        <v>0</v>
      </c>
      <c r="W518" s="1086">
        <v>0</v>
      </c>
      <c r="X518" s="1086">
        <v>0</v>
      </c>
      <c r="Y518" s="1086">
        <v>0</v>
      </c>
      <c r="Z518" s="1086">
        <v>0</v>
      </c>
      <c r="AA518" s="1086">
        <v>0</v>
      </c>
      <c r="AB518" s="1086">
        <v>0</v>
      </c>
      <c r="AC518" s="1086">
        <v>511792.15</v>
      </c>
      <c r="AD518" s="1086" t="s">
        <v>248</v>
      </c>
      <c r="AE518" s="1086" t="s">
        <v>3883</v>
      </c>
      <c r="AF518" s="1086">
        <f t="shared" si="29"/>
        <v>511792.15</v>
      </c>
      <c r="AG518" s="1086">
        <f t="shared" si="32"/>
        <v>0</v>
      </c>
      <c r="AQ518" s="1086">
        <v>0</v>
      </c>
      <c r="AR518" s="1086">
        <v>0</v>
      </c>
      <c r="AS518" s="1086">
        <v>511792.15</v>
      </c>
      <c r="AT518" s="1086">
        <f t="shared" si="30"/>
        <v>0</v>
      </c>
      <c r="AV518" s="1150">
        <f t="shared" si="31"/>
        <v>0</v>
      </c>
    </row>
    <row r="519" spans="1:48" x14ac:dyDescent="0.2">
      <c r="A519" s="19">
        <v>531</v>
      </c>
      <c r="B519" t="s">
        <v>1819</v>
      </c>
      <c r="C519" t="s">
        <v>2074</v>
      </c>
      <c r="D519" t="s">
        <v>1051</v>
      </c>
      <c r="E519" t="s">
        <v>2258</v>
      </c>
      <c r="F519" t="s">
        <v>2452</v>
      </c>
      <c r="H519" t="s">
        <v>3836</v>
      </c>
      <c r="I519">
        <v>0</v>
      </c>
      <c r="L519" t="s">
        <v>3024</v>
      </c>
      <c r="M519" s="1086">
        <v>16756.75</v>
      </c>
      <c r="N519" s="1086">
        <v>0</v>
      </c>
      <c r="O519" s="1086">
        <v>0</v>
      </c>
      <c r="P519" s="1086">
        <v>0</v>
      </c>
      <c r="Q519" s="1086">
        <v>0</v>
      </c>
      <c r="R519" s="1086">
        <v>0</v>
      </c>
      <c r="S519" s="1086">
        <v>0</v>
      </c>
      <c r="T519" s="1086">
        <v>0</v>
      </c>
      <c r="U519" s="1086">
        <v>0</v>
      </c>
      <c r="V519" s="1086">
        <v>0</v>
      </c>
      <c r="W519" s="1086">
        <v>0</v>
      </c>
      <c r="X519" s="1086">
        <v>0</v>
      </c>
      <c r="Y519" s="1086">
        <v>0</v>
      </c>
      <c r="Z519" s="1086">
        <v>0</v>
      </c>
      <c r="AA519" s="1086">
        <v>0</v>
      </c>
      <c r="AB519" s="1086">
        <v>0</v>
      </c>
      <c r="AC519" s="1086">
        <v>16756.75</v>
      </c>
      <c r="AD519" s="1086" t="s">
        <v>248</v>
      </c>
      <c r="AE519" s="1086" t="s">
        <v>3883</v>
      </c>
      <c r="AF519" s="1086">
        <f t="shared" si="29"/>
        <v>16756.75</v>
      </c>
      <c r="AG519" s="1086">
        <f t="shared" si="32"/>
        <v>0</v>
      </c>
      <c r="AQ519" s="1086">
        <v>0</v>
      </c>
      <c r="AR519" s="1086">
        <v>0</v>
      </c>
      <c r="AS519" s="1086">
        <v>16756.75</v>
      </c>
      <c r="AT519" s="1086">
        <f t="shared" si="30"/>
        <v>0</v>
      </c>
      <c r="AV519" s="1150">
        <f t="shared" si="31"/>
        <v>0</v>
      </c>
    </row>
    <row r="520" spans="1:48" x14ac:dyDescent="0.2">
      <c r="A520" s="19">
        <v>532</v>
      </c>
      <c r="B520" t="s">
        <v>1820</v>
      </c>
      <c r="C520" t="s">
        <v>2074</v>
      </c>
      <c r="D520" t="s">
        <v>1051</v>
      </c>
      <c r="E520" t="s">
        <v>2258</v>
      </c>
      <c r="F520" t="s">
        <v>2452</v>
      </c>
      <c r="H520" t="s">
        <v>3836</v>
      </c>
      <c r="I520">
        <v>0</v>
      </c>
      <c r="L520" t="s">
        <v>3025</v>
      </c>
      <c r="M520" s="1086">
        <v>1503954.4</v>
      </c>
      <c r="N520" s="1086">
        <v>0</v>
      </c>
      <c r="O520" s="1086">
        <v>0</v>
      </c>
      <c r="P520" s="1086">
        <v>0</v>
      </c>
      <c r="Q520" s="1086">
        <v>0</v>
      </c>
      <c r="R520" s="1086">
        <v>0</v>
      </c>
      <c r="S520" s="1086">
        <v>0</v>
      </c>
      <c r="T520" s="1086">
        <v>0</v>
      </c>
      <c r="U520" s="1086">
        <v>0</v>
      </c>
      <c r="V520" s="1086">
        <v>0</v>
      </c>
      <c r="W520" s="1086">
        <v>0</v>
      </c>
      <c r="X520" s="1086">
        <v>0</v>
      </c>
      <c r="Y520" s="1086">
        <v>0</v>
      </c>
      <c r="Z520" s="1086">
        <v>0</v>
      </c>
      <c r="AA520" s="1086">
        <v>0</v>
      </c>
      <c r="AB520" s="1086">
        <v>0</v>
      </c>
      <c r="AC520" s="1086">
        <v>1503954.4</v>
      </c>
      <c r="AD520" s="1086" t="s">
        <v>248</v>
      </c>
      <c r="AE520" s="1086" t="s">
        <v>3883</v>
      </c>
      <c r="AF520" s="1086">
        <f t="shared" ref="AF520:AF583" si="33">M520+N520+O520-(SUM(P520:AB520))-AQ520-AR520</f>
        <v>1503954.4</v>
      </c>
      <c r="AG520" s="1086">
        <f t="shared" si="32"/>
        <v>0</v>
      </c>
      <c r="AQ520" s="1086">
        <v>0</v>
      </c>
      <c r="AR520" s="1086">
        <v>0</v>
      </c>
      <c r="AS520" s="1086">
        <v>1503954.4</v>
      </c>
      <c r="AT520" s="1086">
        <f t="shared" ref="AT520:AT583" si="34">AC520-AS520</f>
        <v>0</v>
      </c>
      <c r="AV520" s="1150">
        <f t="shared" si="31"/>
        <v>0</v>
      </c>
    </row>
    <row r="521" spans="1:48" x14ac:dyDescent="0.2">
      <c r="A521" s="19">
        <v>533</v>
      </c>
      <c r="B521" t="s">
        <v>1821</v>
      </c>
      <c r="C521" t="s">
        <v>2074</v>
      </c>
      <c r="D521" t="s">
        <v>1051</v>
      </c>
      <c r="E521" t="s">
        <v>2258</v>
      </c>
      <c r="F521" t="s">
        <v>2452</v>
      </c>
      <c r="H521" t="s">
        <v>3836</v>
      </c>
      <c r="I521">
        <v>0</v>
      </c>
      <c r="L521" t="s">
        <v>3026</v>
      </c>
      <c r="M521" s="1086">
        <v>10000</v>
      </c>
      <c r="N521" s="1086">
        <v>0</v>
      </c>
      <c r="O521" s="1086">
        <v>0</v>
      </c>
      <c r="P521" s="1086">
        <v>0</v>
      </c>
      <c r="Q521" s="1086">
        <v>0</v>
      </c>
      <c r="R521" s="1086">
        <v>0</v>
      </c>
      <c r="S521" s="1086">
        <v>0</v>
      </c>
      <c r="T521" s="1086">
        <v>0</v>
      </c>
      <c r="U521" s="1086">
        <v>0</v>
      </c>
      <c r="V521" s="1086">
        <v>0</v>
      </c>
      <c r="W521" s="1086">
        <v>0</v>
      </c>
      <c r="X521" s="1086">
        <v>0</v>
      </c>
      <c r="Y521" s="1086">
        <v>0</v>
      </c>
      <c r="Z521" s="1086">
        <v>0</v>
      </c>
      <c r="AA521" s="1086">
        <v>0</v>
      </c>
      <c r="AB521" s="1086">
        <v>0</v>
      </c>
      <c r="AC521" s="1086">
        <v>10000</v>
      </c>
      <c r="AD521" s="1086" t="s">
        <v>248</v>
      </c>
      <c r="AE521" s="1086" t="s">
        <v>3883</v>
      </c>
      <c r="AF521" s="1086">
        <f t="shared" si="33"/>
        <v>10000</v>
      </c>
      <c r="AG521" s="1086">
        <f t="shared" si="32"/>
        <v>0</v>
      </c>
      <c r="AQ521" s="1086">
        <v>0</v>
      </c>
      <c r="AR521" s="1086">
        <v>0</v>
      </c>
      <c r="AS521" s="1086">
        <v>10000</v>
      </c>
      <c r="AT521" s="1086">
        <f t="shared" si="34"/>
        <v>0</v>
      </c>
      <c r="AV521" s="1150">
        <f t="shared" ref="AV521:AV584" si="35">SUM(P521:AB521)+AQ521+AR521</f>
        <v>0</v>
      </c>
    </row>
    <row r="522" spans="1:48" x14ac:dyDescent="0.2">
      <c r="A522" s="19">
        <v>534</v>
      </c>
      <c r="B522" t="s">
        <v>1822</v>
      </c>
      <c r="C522" t="s">
        <v>2074</v>
      </c>
      <c r="D522" t="s">
        <v>1051</v>
      </c>
      <c r="E522" t="s">
        <v>2258</v>
      </c>
      <c r="F522" t="s">
        <v>2452</v>
      </c>
      <c r="H522" t="s">
        <v>3836</v>
      </c>
      <c r="I522">
        <v>0</v>
      </c>
      <c r="L522" t="s">
        <v>3027</v>
      </c>
      <c r="M522" s="1086">
        <v>5000</v>
      </c>
      <c r="N522" s="1086">
        <v>0</v>
      </c>
      <c r="O522" s="1086">
        <v>0</v>
      </c>
      <c r="P522" s="1086">
        <v>0</v>
      </c>
      <c r="Q522" s="1086">
        <v>0</v>
      </c>
      <c r="R522" s="1086">
        <v>0</v>
      </c>
      <c r="S522" s="1086">
        <v>0</v>
      </c>
      <c r="T522" s="1086">
        <v>0</v>
      </c>
      <c r="U522" s="1086">
        <v>0</v>
      </c>
      <c r="V522" s="1086">
        <v>0</v>
      </c>
      <c r="W522" s="1086">
        <v>0</v>
      </c>
      <c r="X522" s="1086">
        <v>0</v>
      </c>
      <c r="Y522" s="1086">
        <v>0</v>
      </c>
      <c r="Z522" s="1086">
        <v>0</v>
      </c>
      <c r="AA522" s="1086">
        <v>0</v>
      </c>
      <c r="AB522" s="1086">
        <v>0</v>
      </c>
      <c r="AC522" s="1086">
        <v>5000</v>
      </c>
      <c r="AD522" s="1086" t="s">
        <v>248</v>
      </c>
      <c r="AE522" s="1086" t="s">
        <v>3883</v>
      </c>
      <c r="AF522" s="1086">
        <f t="shared" si="33"/>
        <v>5000</v>
      </c>
      <c r="AG522" s="1086">
        <f t="shared" si="32"/>
        <v>0</v>
      </c>
      <c r="AQ522" s="1086">
        <v>0</v>
      </c>
      <c r="AR522" s="1086">
        <v>0</v>
      </c>
      <c r="AS522" s="1086">
        <v>5000</v>
      </c>
      <c r="AT522" s="1086">
        <f t="shared" si="34"/>
        <v>0</v>
      </c>
      <c r="AV522" s="1150">
        <f t="shared" si="35"/>
        <v>0</v>
      </c>
    </row>
    <row r="523" spans="1:48" x14ac:dyDescent="0.2">
      <c r="A523" s="19">
        <v>535</v>
      </c>
      <c r="B523" t="s">
        <v>1823</v>
      </c>
      <c r="C523" t="s">
        <v>2074</v>
      </c>
      <c r="D523" t="s">
        <v>1051</v>
      </c>
      <c r="E523" t="s">
        <v>2258</v>
      </c>
      <c r="F523" t="s">
        <v>2452</v>
      </c>
      <c r="H523" t="s">
        <v>3836</v>
      </c>
      <c r="I523">
        <v>0</v>
      </c>
      <c r="L523" t="s">
        <v>3028</v>
      </c>
      <c r="M523" s="1086">
        <v>33596.85</v>
      </c>
      <c r="N523" s="1086">
        <v>0</v>
      </c>
      <c r="O523" s="1086">
        <v>0</v>
      </c>
      <c r="P523" s="1086">
        <v>0</v>
      </c>
      <c r="Q523" s="1086">
        <v>0</v>
      </c>
      <c r="R523" s="1086">
        <v>0</v>
      </c>
      <c r="S523" s="1086">
        <v>0</v>
      </c>
      <c r="T523" s="1086">
        <v>0</v>
      </c>
      <c r="U523" s="1086">
        <v>0</v>
      </c>
      <c r="V523" s="1086">
        <v>0</v>
      </c>
      <c r="W523" s="1086">
        <v>0</v>
      </c>
      <c r="X523" s="1086">
        <v>0</v>
      </c>
      <c r="Y523" s="1086">
        <v>0</v>
      </c>
      <c r="Z523" s="1086">
        <v>0</v>
      </c>
      <c r="AA523" s="1086">
        <v>0</v>
      </c>
      <c r="AB523" s="1086">
        <v>0</v>
      </c>
      <c r="AC523" s="1086">
        <v>33596.85</v>
      </c>
      <c r="AD523" s="1086" t="s">
        <v>248</v>
      </c>
      <c r="AE523" s="1086" t="s">
        <v>3883</v>
      </c>
      <c r="AF523" s="1086">
        <f t="shared" si="33"/>
        <v>33596.85</v>
      </c>
      <c r="AG523" s="1086">
        <f t="shared" si="32"/>
        <v>0</v>
      </c>
      <c r="AQ523" s="1086">
        <v>0</v>
      </c>
      <c r="AR523" s="1086">
        <v>0</v>
      </c>
      <c r="AS523" s="1086">
        <v>33596.85</v>
      </c>
      <c r="AT523" s="1086">
        <f t="shared" si="34"/>
        <v>0</v>
      </c>
      <c r="AV523" s="1150">
        <f t="shared" si="35"/>
        <v>0</v>
      </c>
    </row>
    <row r="524" spans="1:48" x14ac:dyDescent="0.2">
      <c r="A524" s="19">
        <v>536</v>
      </c>
      <c r="B524" t="s">
        <v>1824</v>
      </c>
      <c r="C524" t="s">
        <v>2074</v>
      </c>
      <c r="D524" t="s">
        <v>1051</v>
      </c>
      <c r="E524" t="s">
        <v>2258</v>
      </c>
      <c r="F524" t="s">
        <v>2452</v>
      </c>
      <c r="H524" t="s">
        <v>3836</v>
      </c>
      <c r="I524">
        <v>0</v>
      </c>
      <c r="L524" t="s">
        <v>3029</v>
      </c>
      <c r="M524" s="1086">
        <v>13727.1</v>
      </c>
      <c r="N524" s="1086">
        <v>0</v>
      </c>
      <c r="O524" s="1086">
        <v>0</v>
      </c>
      <c r="P524" s="1086">
        <v>0</v>
      </c>
      <c r="Q524" s="1086">
        <v>0</v>
      </c>
      <c r="R524" s="1086">
        <v>0</v>
      </c>
      <c r="S524" s="1086">
        <v>0</v>
      </c>
      <c r="T524" s="1086">
        <v>0</v>
      </c>
      <c r="U524" s="1086">
        <v>0</v>
      </c>
      <c r="V524" s="1086">
        <v>0</v>
      </c>
      <c r="W524" s="1086">
        <v>0</v>
      </c>
      <c r="X524" s="1086">
        <v>0</v>
      </c>
      <c r="Y524" s="1086">
        <v>0</v>
      </c>
      <c r="Z524" s="1086">
        <v>0</v>
      </c>
      <c r="AA524" s="1086">
        <v>0</v>
      </c>
      <c r="AB524" s="1086">
        <v>0</v>
      </c>
      <c r="AC524" s="1086">
        <v>13727.1</v>
      </c>
      <c r="AD524" s="1086" t="s">
        <v>248</v>
      </c>
      <c r="AE524" s="1086" t="s">
        <v>3883</v>
      </c>
      <c r="AF524" s="1086">
        <f t="shared" si="33"/>
        <v>13727.1</v>
      </c>
      <c r="AG524" s="1086">
        <f t="shared" si="32"/>
        <v>0</v>
      </c>
      <c r="AQ524" s="1086">
        <v>0</v>
      </c>
      <c r="AR524" s="1086">
        <v>0</v>
      </c>
      <c r="AS524" s="1086">
        <v>13727.1</v>
      </c>
      <c r="AT524" s="1086">
        <f t="shared" si="34"/>
        <v>0</v>
      </c>
      <c r="AV524" s="1150">
        <f t="shared" si="35"/>
        <v>0</v>
      </c>
    </row>
    <row r="525" spans="1:48" x14ac:dyDescent="0.2">
      <c r="A525" s="19">
        <v>537</v>
      </c>
      <c r="B525" t="s">
        <v>1825</v>
      </c>
      <c r="C525" t="s">
        <v>2074</v>
      </c>
      <c r="D525" t="s">
        <v>1051</v>
      </c>
      <c r="E525" t="s">
        <v>2258</v>
      </c>
      <c r="F525" t="s">
        <v>2452</v>
      </c>
      <c r="H525" t="s">
        <v>3836</v>
      </c>
      <c r="I525">
        <v>0</v>
      </c>
      <c r="L525" t="s">
        <v>3030</v>
      </c>
      <c r="M525" s="1086">
        <v>10000</v>
      </c>
      <c r="N525" s="1086">
        <v>0</v>
      </c>
      <c r="O525" s="1086">
        <v>0</v>
      </c>
      <c r="P525" s="1086">
        <v>0</v>
      </c>
      <c r="Q525" s="1086">
        <v>0</v>
      </c>
      <c r="R525" s="1086">
        <v>0</v>
      </c>
      <c r="S525" s="1086">
        <v>0</v>
      </c>
      <c r="T525" s="1086">
        <v>0</v>
      </c>
      <c r="U525" s="1086">
        <v>0</v>
      </c>
      <c r="V525" s="1086">
        <v>0</v>
      </c>
      <c r="W525" s="1086">
        <v>0</v>
      </c>
      <c r="X525" s="1086">
        <v>0</v>
      </c>
      <c r="Y525" s="1086">
        <v>0</v>
      </c>
      <c r="Z525" s="1086">
        <v>0</v>
      </c>
      <c r="AA525" s="1086">
        <v>0</v>
      </c>
      <c r="AB525" s="1086">
        <v>0</v>
      </c>
      <c r="AC525" s="1086">
        <v>10000</v>
      </c>
      <c r="AD525" s="1086" t="s">
        <v>248</v>
      </c>
      <c r="AE525" s="1086" t="s">
        <v>3883</v>
      </c>
      <c r="AF525" s="1086">
        <f t="shared" si="33"/>
        <v>10000</v>
      </c>
      <c r="AG525" s="1086">
        <f t="shared" si="32"/>
        <v>0</v>
      </c>
      <c r="AQ525" s="1086">
        <v>0</v>
      </c>
      <c r="AR525" s="1086">
        <v>0</v>
      </c>
      <c r="AS525" s="1086">
        <v>10000</v>
      </c>
      <c r="AT525" s="1086">
        <f t="shared" si="34"/>
        <v>0</v>
      </c>
      <c r="AV525" s="1150">
        <f t="shared" si="35"/>
        <v>0</v>
      </c>
    </row>
    <row r="526" spans="1:48" x14ac:dyDescent="0.2">
      <c r="A526" s="19">
        <v>538</v>
      </c>
      <c r="B526" t="s">
        <v>1826</v>
      </c>
      <c r="C526" t="s">
        <v>2074</v>
      </c>
      <c r="D526" t="s">
        <v>1051</v>
      </c>
      <c r="E526" t="s">
        <v>2258</v>
      </c>
      <c r="F526" t="s">
        <v>2452</v>
      </c>
      <c r="H526" t="s">
        <v>3836</v>
      </c>
      <c r="I526">
        <v>0</v>
      </c>
      <c r="L526" t="s">
        <v>3031</v>
      </c>
      <c r="M526" s="1086">
        <v>10000</v>
      </c>
      <c r="N526" s="1086">
        <v>0</v>
      </c>
      <c r="O526" s="1086">
        <v>0</v>
      </c>
      <c r="P526" s="1086">
        <v>0</v>
      </c>
      <c r="Q526" s="1086">
        <v>0</v>
      </c>
      <c r="R526" s="1086">
        <v>0</v>
      </c>
      <c r="S526" s="1086">
        <v>0</v>
      </c>
      <c r="T526" s="1086">
        <v>0</v>
      </c>
      <c r="U526" s="1086">
        <v>0</v>
      </c>
      <c r="V526" s="1086">
        <v>0</v>
      </c>
      <c r="W526" s="1086">
        <v>0</v>
      </c>
      <c r="X526" s="1086">
        <v>0</v>
      </c>
      <c r="Y526" s="1086">
        <v>0</v>
      </c>
      <c r="Z526" s="1086">
        <v>0</v>
      </c>
      <c r="AA526" s="1086">
        <v>0</v>
      </c>
      <c r="AB526" s="1086">
        <v>0</v>
      </c>
      <c r="AC526" s="1086">
        <v>10000</v>
      </c>
      <c r="AD526" s="1086" t="s">
        <v>248</v>
      </c>
      <c r="AE526" s="1086" t="s">
        <v>3883</v>
      </c>
      <c r="AF526" s="1086">
        <f t="shared" si="33"/>
        <v>10000</v>
      </c>
      <c r="AG526" s="1086">
        <f t="shared" si="32"/>
        <v>0</v>
      </c>
      <c r="AQ526" s="1086">
        <v>0</v>
      </c>
      <c r="AR526" s="1086">
        <v>0</v>
      </c>
      <c r="AS526" s="1086">
        <v>10000</v>
      </c>
      <c r="AT526" s="1086">
        <f t="shared" si="34"/>
        <v>0</v>
      </c>
      <c r="AV526" s="1150">
        <f t="shared" si="35"/>
        <v>0</v>
      </c>
    </row>
    <row r="527" spans="1:48" x14ac:dyDescent="0.2">
      <c r="A527" s="19">
        <v>539</v>
      </c>
      <c r="B527" t="s">
        <v>1827</v>
      </c>
      <c r="C527" t="s">
        <v>2074</v>
      </c>
      <c r="D527" t="s">
        <v>1051</v>
      </c>
      <c r="E527" t="s">
        <v>2258</v>
      </c>
      <c r="F527" t="s">
        <v>2452</v>
      </c>
      <c r="H527" t="s">
        <v>3836</v>
      </c>
      <c r="I527">
        <v>0</v>
      </c>
      <c r="L527" t="s">
        <v>3032</v>
      </c>
      <c r="M527" s="1086">
        <v>362131.85</v>
      </c>
      <c r="N527" s="1086">
        <v>0</v>
      </c>
      <c r="O527" s="1086">
        <v>0</v>
      </c>
      <c r="P527" s="1086">
        <v>0</v>
      </c>
      <c r="Q527" s="1086">
        <v>0</v>
      </c>
      <c r="R527" s="1086">
        <v>0</v>
      </c>
      <c r="S527" s="1086">
        <v>0</v>
      </c>
      <c r="T527" s="1086">
        <v>0</v>
      </c>
      <c r="U527" s="1086">
        <v>0</v>
      </c>
      <c r="V527" s="1086">
        <v>0</v>
      </c>
      <c r="W527" s="1086">
        <v>0</v>
      </c>
      <c r="X527" s="1086">
        <v>0</v>
      </c>
      <c r="Y527" s="1086">
        <v>0</v>
      </c>
      <c r="Z527" s="1086">
        <v>0</v>
      </c>
      <c r="AA527" s="1086">
        <v>0</v>
      </c>
      <c r="AB527" s="1086">
        <v>0</v>
      </c>
      <c r="AC527" s="1086">
        <v>362131.85</v>
      </c>
      <c r="AD527" s="1086" t="s">
        <v>248</v>
      </c>
      <c r="AE527" s="1086" t="s">
        <v>3883</v>
      </c>
      <c r="AF527" s="1086">
        <f t="shared" si="33"/>
        <v>362131.85</v>
      </c>
      <c r="AG527" s="1086">
        <f t="shared" si="32"/>
        <v>0</v>
      </c>
      <c r="AQ527" s="1086">
        <v>0</v>
      </c>
      <c r="AR527" s="1086">
        <v>0</v>
      </c>
      <c r="AS527" s="1086">
        <v>362131.85</v>
      </c>
      <c r="AT527" s="1086">
        <f t="shared" si="34"/>
        <v>0</v>
      </c>
      <c r="AV527" s="1150">
        <f t="shared" si="35"/>
        <v>0</v>
      </c>
    </row>
    <row r="528" spans="1:48" x14ac:dyDescent="0.2">
      <c r="A528" s="19">
        <v>540</v>
      </c>
      <c r="B528" t="s">
        <v>1828</v>
      </c>
      <c r="C528" t="s">
        <v>2074</v>
      </c>
      <c r="D528" t="s">
        <v>1051</v>
      </c>
      <c r="E528" t="s">
        <v>2258</v>
      </c>
      <c r="F528" t="s">
        <v>2452</v>
      </c>
      <c r="H528" t="s">
        <v>3836</v>
      </c>
      <c r="I528">
        <v>0</v>
      </c>
      <c r="L528" t="s">
        <v>3033</v>
      </c>
      <c r="M528" s="1086">
        <v>1137387.17</v>
      </c>
      <c r="N528" s="1086">
        <v>0</v>
      </c>
      <c r="O528" s="1086">
        <v>0</v>
      </c>
      <c r="P528" s="1086">
        <v>0</v>
      </c>
      <c r="Q528" s="1086">
        <v>0</v>
      </c>
      <c r="R528" s="1086">
        <v>0</v>
      </c>
      <c r="S528" s="1086">
        <v>0</v>
      </c>
      <c r="T528" s="1086">
        <v>0</v>
      </c>
      <c r="U528" s="1086">
        <v>0</v>
      </c>
      <c r="V528" s="1086">
        <v>0</v>
      </c>
      <c r="W528" s="1086">
        <v>0</v>
      </c>
      <c r="X528" s="1086">
        <v>0</v>
      </c>
      <c r="Y528" s="1086">
        <v>0</v>
      </c>
      <c r="Z528" s="1086">
        <v>0</v>
      </c>
      <c r="AA528" s="1086">
        <v>0</v>
      </c>
      <c r="AB528" s="1086">
        <v>0</v>
      </c>
      <c r="AC528" s="1086">
        <v>1137387.17</v>
      </c>
      <c r="AD528" s="1086" t="s">
        <v>248</v>
      </c>
      <c r="AE528" s="1086" t="s">
        <v>3883</v>
      </c>
      <c r="AF528" s="1086">
        <f t="shared" si="33"/>
        <v>1137387.17</v>
      </c>
      <c r="AG528" s="1086">
        <f t="shared" si="32"/>
        <v>0</v>
      </c>
      <c r="AQ528" s="1086">
        <v>0</v>
      </c>
      <c r="AR528" s="1086">
        <v>0</v>
      </c>
      <c r="AS528" s="1086">
        <v>1137387.17</v>
      </c>
      <c r="AT528" s="1086">
        <f t="shared" si="34"/>
        <v>0</v>
      </c>
      <c r="AV528" s="1150">
        <f t="shared" si="35"/>
        <v>0</v>
      </c>
    </row>
    <row r="529" spans="1:48" x14ac:dyDescent="0.2">
      <c r="A529" s="19">
        <v>541</v>
      </c>
      <c r="B529" t="s">
        <v>1829</v>
      </c>
      <c r="C529" t="s">
        <v>2074</v>
      </c>
      <c r="D529" t="s">
        <v>1051</v>
      </c>
      <c r="E529" t="s">
        <v>2258</v>
      </c>
      <c r="F529" t="s">
        <v>2452</v>
      </c>
      <c r="H529" t="s">
        <v>3836</v>
      </c>
      <c r="I529">
        <v>0</v>
      </c>
      <c r="L529" t="s">
        <v>3034</v>
      </c>
      <c r="M529" s="1086">
        <v>1000000</v>
      </c>
      <c r="N529" s="1086">
        <v>0</v>
      </c>
      <c r="O529" s="1086">
        <v>0</v>
      </c>
      <c r="P529" s="1086">
        <v>0</v>
      </c>
      <c r="Q529" s="1086">
        <v>0</v>
      </c>
      <c r="R529" s="1086">
        <v>0</v>
      </c>
      <c r="S529" s="1086">
        <v>0</v>
      </c>
      <c r="T529" s="1086">
        <v>0</v>
      </c>
      <c r="U529" s="1086">
        <v>0</v>
      </c>
      <c r="V529" s="1086">
        <v>0</v>
      </c>
      <c r="W529" s="1086">
        <v>0</v>
      </c>
      <c r="X529" s="1086">
        <v>0</v>
      </c>
      <c r="Y529" s="1086">
        <v>0</v>
      </c>
      <c r="Z529" s="1086">
        <v>0</v>
      </c>
      <c r="AA529" s="1086">
        <v>0</v>
      </c>
      <c r="AB529" s="1086">
        <v>0</v>
      </c>
      <c r="AC529" s="1086">
        <v>1000000</v>
      </c>
      <c r="AD529" s="1086" t="s">
        <v>248</v>
      </c>
      <c r="AE529" s="1086" t="s">
        <v>3883</v>
      </c>
      <c r="AF529" s="1086">
        <f t="shared" si="33"/>
        <v>1000000</v>
      </c>
      <c r="AG529" s="1086">
        <f t="shared" si="32"/>
        <v>0</v>
      </c>
      <c r="AQ529" s="1086">
        <v>0</v>
      </c>
      <c r="AR529" s="1086">
        <v>0</v>
      </c>
      <c r="AS529" s="1086">
        <v>1000000</v>
      </c>
      <c r="AT529" s="1086">
        <f t="shared" si="34"/>
        <v>0</v>
      </c>
      <c r="AV529" s="1150">
        <f t="shared" si="35"/>
        <v>0</v>
      </c>
    </row>
    <row r="530" spans="1:48" x14ac:dyDescent="0.2">
      <c r="A530" s="19">
        <v>542</v>
      </c>
      <c r="B530" t="s">
        <v>1830</v>
      </c>
      <c r="C530" t="s">
        <v>2074</v>
      </c>
      <c r="D530" t="s">
        <v>1051</v>
      </c>
      <c r="E530" t="s">
        <v>2258</v>
      </c>
      <c r="F530" t="s">
        <v>2452</v>
      </c>
      <c r="H530" t="s">
        <v>3836</v>
      </c>
      <c r="I530">
        <v>0</v>
      </c>
      <c r="L530" t="s">
        <v>3035</v>
      </c>
      <c r="M530" s="1086">
        <v>855243.45</v>
      </c>
      <c r="N530" s="1086">
        <v>0</v>
      </c>
      <c r="O530" s="1086">
        <v>0</v>
      </c>
      <c r="P530" s="1086">
        <v>0</v>
      </c>
      <c r="Q530" s="1086">
        <v>0</v>
      </c>
      <c r="R530" s="1086">
        <v>0</v>
      </c>
      <c r="S530" s="1086">
        <v>0</v>
      </c>
      <c r="T530" s="1086">
        <v>0</v>
      </c>
      <c r="U530" s="1086">
        <v>0</v>
      </c>
      <c r="V530" s="1086">
        <v>0</v>
      </c>
      <c r="W530" s="1086">
        <v>0</v>
      </c>
      <c r="X530" s="1086">
        <v>0</v>
      </c>
      <c r="Y530" s="1086">
        <v>0</v>
      </c>
      <c r="Z530" s="1086">
        <v>0</v>
      </c>
      <c r="AA530" s="1086">
        <v>0</v>
      </c>
      <c r="AB530" s="1086">
        <v>0</v>
      </c>
      <c r="AC530" s="1086">
        <v>855243.45</v>
      </c>
      <c r="AD530" s="1086" t="s">
        <v>248</v>
      </c>
      <c r="AE530" s="1086" t="s">
        <v>3883</v>
      </c>
      <c r="AF530" s="1086">
        <f t="shared" si="33"/>
        <v>855243.45</v>
      </c>
      <c r="AG530" s="1086">
        <f t="shared" si="32"/>
        <v>0</v>
      </c>
      <c r="AQ530" s="1086">
        <v>0</v>
      </c>
      <c r="AR530" s="1086">
        <v>0</v>
      </c>
      <c r="AS530" s="1086">
        <v>855243.45</v>
      </c>
      <c r="AT530" s="1086">
        <f t="shared" si="34"/>
        <v>0</v>
      </c>
      <c r="AV530" s="1150">
        <f t="shared" si="35"/>
        <v>0</v>
      </c>
    </row>
    <row r="531" spans="1:48" x14ac:dyDescent="0.2">
      <c r="A531" s="19">
        <v>543</v>
      </c>
      <c r="B531" t="s">
        <v>1831</v>
      </c>
      <c r="C531" t="s">
        <v>2074</v>
      </c>
      <c r="D531" t="s">
        <v>1051</v>
      </c>
      <c r="E531" t="s">
        <v>2258</v>
      </c>
      <c r="F531" t="s">
        <v>2452</v>
      </c>
      <c r="H531" t="s">
        <v>3836</v>
      </c>
      <c r="I531">
        <v>0</v>
      </c>
      <c r="L531" t="s">
        <v>3036</v>
      </c>
      <c r="M531" s="1086">
        <v>5084.6099999999997</v>
      </c>
      <c r="N531" s="1086">
        <v>0</v>
      </c>
      <c r="O531" s="1086">
        <v>0</v>
      </c>
      <c r="P531" s="1086">
        <v>0</v>
      </c>
      <c r="Q531" s="1086">
        <v>0</v>
      </c>
      <c r="R531" s="1086">
        <v>0</v>
      </c>
      <c r="S531" s="1086">
        <v>0</v>
      </c>
      <c r="T531" s="1086">
        <v>0</v>
      </c>
      <c r="U531" s="1086">
        <v>0</v>
      </c>
      <c r="V531" s="1086">
        <v>0</v>
      </c>
      <c r="W531" s="1086">
        <v>0</v>
      </c>
      <c r="X531" s="1086">
        <v>0</v>
      </c>
      <c r="Y531" s="1086">
        <v>0</v>
      </c>
      <c r="Z531" s="1086">
        <v>0</v>
      </c>
      <c r="AA531" s="1086">
        <v>0</v>
      </c>
      <c r="AB531" s="1086">
        <v>0</v>
      </c>
      <c r="AC531" s="1086">
        <v>5084.6099999999997</v>
      </c>
      <c r="AD531" s="1086" t="s">
        <v>248</v>
      </c>
      <c r="AE531" s="1086" t="s">
        <v>3883</v>
      </c>
      <c r="AF531" s="1086">
        <f t="shared" si="33"/>
        <v>5084.6099999999997</v>
      </c>
      <c r="AG531" s="1086">
        <f t="shared" si="32"/>
        <v>0</v>
      </c>
      <c r="AQ531" s="1086">
        <v>0</v>
      </c>
      <c r="AR531" s="1086">
        <v>0</v>
      </c>
      <c r="AS531" s="1086">
        <v>5084.6099999999997</v>
      </c>
      <c r="AT531" s="1086">
        <f t="shared" si="34"/>
        <v>0</v>
      </c>
      <c r="AV531" s="1150">
        <f t="shared" si="35"/>
        <v>0</v>
      </c>
    </row>
    <row r="532" spans="1:48" x14ac:dyDescent="0.2">
      <c r="A532" s="19">
        <v>544</v>
      </c>
      <c r="B532" t="s">
        <v>1832</v>
      </c>
      <c r="C532" t="s">
        <v>2074</v>
      </c>
      <c r="D532" t="s">
        <v>1051</v>
      </c>
      <c r="E532" t="s">
        <v>2258</v>
      </c>
      <c r="F532" t="s">
        <v>2452</v>
      </c>
      <c r="H532" t="s">
        <v>3836</v>
      </c>
      <c r="I532">
        <v>0</v>
      </c>
      <c r="L532" t="s">
        <v>3037</v>
      </c>
      <c r="M532" s="1086">
        <v>10000</v>
      </c>
      <c r="N532" s="1086">
        <v>0</v>
      </c>
      <c r="O532" s="1086">
        <v>0</v>
      </c>
      <c r="P532" s="1086">
        <v>0</v>
      </c>
      <c r="Q532" s="1086">
        <v>0</v>
      </c>
      <c r="R532" s="1086">
        <v>0</v>
      </c>
      <c r="S532" s="1086">
        <v>0</v>
      </c>
      <c r="T532" s="1086">
        <v>0</v>
      </c>
      <c r="U532" s="1086">
        <v>0</v>
      </c>
      <c r="V532" s="1086">
        <v>0</v>
      </c>
      <c r="W532" s="1086">
        <v>0</v>
      </c>
      <c r="X532" s="1086">
        <v>0</v>
      </c>
      <c r="Y532" s="1086">
        <v>0</v>
      </c>
      <c r="Z532" s="1086">
        <v>0</v>
      </c>
      <c r="AA532" s="1086">
        <v>0</v>
      </c>
      <c r="AB532" s="1086">
        <v>0</v>
      </c>
      <c r="AC532" s="1086">
        <v>10000</v>
      </c>
      <c r="AD532" s="1086" t="s">
        <v>248</v>
      </c>
      <c r="AE532" s="1086" t="s">
        <v>3883</v>
      </c>
      <c r="AF532" s="1086">
        <f t="shared" si="33"/>
        <v>10000</v>
      </c>
      <c r="AG532" s="1086">
        <f t="shared" si="32"/>
        <v>0</v>
      </c>
      <c r="AQ532" s="1086">
        <v>0</v>
      </c>
      <c r="AR532" s="1086">
        <v>0</v>
      </c>
      <c r="AS532" s="1086">
        <v>10000</v>
      </c>
      <c r="AT532" s="1086">
        <f t="shared" si="34"/>
        <v>0</v>
      </c>
      <c r="AV532" s="1150">
        <f t="shared" si="35"/>
        <v>0</v>
      </c>
    </row>
    <row r="533" spans="1:48" x14ac:dyDescent="0.2">
      <c r="A533" s="19">
        <v>545</v>
      </c>
      <c r="B533" t="s">
        <v>1833</v>
      </c>
      <c r="C533" t="s">
        <v>2074</v>
      </c>
      <c r="D533" t="s">
        <v>1051</v>
      </c>
      <c r="E533" t="s">
        <v>2258</v>
      </c>
      <c r="F533" t="s">
        <v>2452</v>
      </c>
      <c r="H533" t="s">
        <v>3836</v>
      </c>
      <c r="I533">
        <v>0</v>
      </c>
      <c r="L533" t="s">
        <v>3038</v>
      </c>
      <c r="M533" s="1086">
        <v>817218.89</v>
      </c>
      <c r="N533" s="1086">
        <v>0</v>
      </c>
      <c r="O533" s="1086">
        <v>0</v>
      </c>
      <c r="P533" s="1086">
        <v>0</v>
      </c>
      <c r="Q533" s="1086">
        <v>0</v>
      </c>
      <c r="R533" s="1086">
        <v>0</v>
      </c>
      <c r="S533" s="1086">
        <v>0</v>
      </c>
      <c r="T533" s="1086">
        <v>0</v>
      </c>
      <c r="U533" s="1086">
        <v>0</v>
      </c>
      <c r="V533" s="1086">
        <v>0</v>
      </c>
      <c r="W533" s="1086">
        <v>0</v>
      </c>
      <c r="X533" s="1086">
        <v>0</v>
      </c>
      <c r="Y533" s="1086">
        <v>0</v>
      </c>
      <c r="Z533" s="1086">
        <v>0</v>
      </c>
      <c r="AA533" s="1086">
        <v>0</v>
      </c>
      <c r="AB533" s="1086">
        <v>0</v>
      </c>
      <c r="AC533" s="1086">
        <v>817218.89</v>
      </c>
      <c r="AD533" s="1086" t="s">
        <v>248</v>
      </c>
      <c r="AE533" s="1086" t="s">
        <v>3883</v>
      </c>
      <c r="AF533" s="1086">
        <f t="shared" si="33"/>
        <v>817218.89</v>
      </c>
      <c r="AG533" s="1086">
        <f t="shared" si="32"/>
        <v>0</v>
      </c>
      <c r="AQ533" s="1086">
        <v>0</v>
      </c>
      <c r="AR533" s="1086">
        <v>0</v>
      </c>
      <c r="AS533" s="1086">
        <v>817218.89</v>
      </c>
      <c r="AT533" s="1086">
        <f t="shared" si="34"/>
        <v>0</v>
      </c>
      <c r="AV533" s="1150">
        <f t="shared" si="35"/>
        <v>0</v>
      </c>
    </row>
    <row r="534" spans="1:48" x14ac:dyDescent="0.2">
      <c r="A534" s="19">
        <v>546</v>
      </c>
      <c r="B534" t="s">
        <v>1834</v>
      </c>
      <c r="C534" t="s">
        <v>2074</v>
      </c>
      <c r="D534" t="s">
        <v>1051</v>
      </c>
      <c r="E534" t="s">
        <v>2258</v>
      </c>
      <c r="F534" t="s">
        <v>2452</v>
      </c>
      <c r="H534" t="s">
        <v>3836</v>
      </c>
      <c r="I534">
        <v>0</v>
      </c>
      <c r="L534" t="s">
        <v>3039</v>
      </c>
      <c r="M534" s="1086">
        <v>347907.57</v>
      </c>
      <c r="N534" s="1086">
        <v>0</v>
      </c>
      <c r="O534" s="1086">
        <v>0</v>
      </c>
      <c r="P534" s="1086">
        <v>0</v>
      </c>
      <c r="Q534" s="1086">
        <v>0</v>
      </c>
      <c r="R534" s="1086">
        <v>0</v>
      </c>
      <c r="S534" s="1086">
        <v>0</v>
      </c>
      <c r="T534" s="1086">
        <v>0</v>
      </c>
      <c r="U534" s="1086">
        <v>0</v>
      </c>
      <c r="V534" s="1086">
        <v>0</v>
      </c>
      <c r="W534" s="1086">
        <v>0</v>
      </c>
      <c r="X534" s="1086">
        <v>0</v>
      </c>
      <c r="Y534" s="1086">
        <v>0</v>
      </c>
      <c r="Z534" s="1086">
        <v>0</v>
      </c>
      <c r="AA534" s="1086">
        <v>0</v>
      </c>
      <c r="AB534" s="1086">
        <v>0</v>
      </c>
      <c r="AC534" s="1086">
        <v>347907.57</v>
      </c>
      <c r="AD534" s="1086" t="s">
        <v>248</v>
      </c>
      <c r="AE534" s="1086" t="s">
        <v>3883</v>
      </c>
      <c r="AF534" s="1086">
        <f t="shared" si="33"/>
        <v>347907.57</v>
      </c>
      <c r="AG534" s="1086">
        <f t="shared" si="32"/>
        <v>0</v>
      </c>
      <c r="AQ534" s="1086">
        <v>0</v>
      </c>
      <c r="AR534" s="1086">
        <v>0</v>
      </c>
      <c r="AS534" s="1086">
        <v>347907.57</v>
      </c>
      <c r="AT534" s="1086">
        <f t="shared" si="34"/>
        <v>0</v>
      </c>
      <c r="AV534" s="1150">
        <f t="shared" si="35"/>
        <v>0</v>
      </c>
    </row>
    <row r="535" spans="1:48" x14ac:dyDescent="0.2">
      <c r="A535" s="19">
        <v>547</v>
      </c>
      <c r="B535" t="s">
        <v>1835</v>
      </c>
      <c r="C535" t="s">
        <v>2074</v>
      </c>
      <c r="D535" t="s">
        <v>1051</v>
      </c>
      <c r="E535" t="s">
        <v>2258</v>
      </c>
      <c r="F535" t="s">
        <v>2452</v>
      </c>
      <c r="H535" t="s">
        <v>3836</v>
      </c>
      <c r="I535">
        <v>0</v>
      </c>
      <c r="L535" t="s">
        <v>3040</v>
      </c>
      <c r="M535" s="1086">
        <v>27544.9</v>
      </c>
      <c r="N535" s="1086">
        <v>0</v>
      </c>
      <c r="O535" s="1086">
        <v>0</v>
      </c>
      <c r="P535" s="1086">
        <v>0</v>
      </c>
      <c r="Q535" s="1086">
        <v>0</v>
      </c>
      <c r="R535" s="1086">
        <v>0</v>
      </c>
      <c r="S535" s="1086">
        <v>0</v>
      </c>
      <c r="T535" s="1086">
        <v>0</v>
      </c>
      <c r="U535" s="1086">
        <v>0</v>
      </c>
      <c r="V535" s="1086">
        <v>0</v>
      </c>
      <c r="W535" s="1086">
        <v>0</v>
      </c>
      <c r="X535" s="1086">
        <v>0</v>
      </c>
      <c r="Y535" s="1086">
        <v>0</v>
      </c>
      <c r="Z535" s="1086">
        <v>0</v>
      </c>
      <c r="AA535" s="1086">
        <v>0</v>
      </c>
      <c r="AB535" s="1086">
        <v>0</v>
      </c>
      <c r="AC535" s="1086">
        <v>27544.9</v>
      </c>
      <c r="AD535" s="1086" t="s">
        <v>248</v>
      </c>
      <c r="AE535" s="1086" t="s">
        <v>3883</v>
      </c>
      <c r="AF535" s="1086">
        <f t="shared" si="33"/>
        <v>27544.9</v>
      </c>
      <c r="AG535" s="1086">
        <f t="shared" si="32"/>
        <v>0</v>
      </c>
      <c r="AQ535" s="1086">
        <v>0</v>
      </c>
      <c r="AR535" s="1086">
        <v>0</v>
      </c>
      <c r="AS535" s="1086">
        <v>27544.9</v>
      </c>
      <c r="AT535" s="1086">
        <f t="shared" si="34"/>
        <v>0</v>
      </c>
      <c r="AV535" s="1150">
        <f t="shared" si="35"/>
        <v>0</v>
      </c>
    </row>
    <row r="536" spans="1:48" x14ac:dyDescent="0.2">
      <c r="A536" s="19">
        <v>548</v>
      </c>
      <c r="B536" t="s">
        <v>1836</v>
      </c>
      <c r="C536" t="s">
        <v>2074</v>
      </c>
      <c r="D536" t="s">
        <v>1051</v>
      </c>
      <c r="E536" t="s">
        <v>2258</v>
      </c>
      <c r="F536" t="s">
        <v>2452</v>
      </c>
      <c r="H536" t="s">
        <v>3836</v>
      </c>
      <c r="I536">
        <v>0</v>
      </c>
      <c r="L536" t="s">
        <v>3041</v>
      </c>
      <c r="M536" s="1086">
        <v>5525</v>
      </c>
      <c r="N536" s="1086">
        <v>0</v>
      </c>
      <c r="O536" s="1086">
        <v>0</v>
      </c>
      <c r="P536" s="1086">
        <v>0</v>
      </c>
      <c r="Q536" s="1086">
        <v>0</v>
      </c>
      <c r="R536" s="1086">
        <v>0</v>
      </c>
      <c r="S536" s="1086">
        <v>0</v>
      </c>
      <c r="T536" s="1086">
        <v>0</v>
      </c>
      <c r="U536" s="1086">
        <v>0</v>
      </c>
      <c r="V536" s="1086">
        <v>0</v>
      </c>
      <c r="W536" s="1086">
        <v>0</v>
      </c>
      <c r="X536" s="1086">
        <v>0</v>
      </c>
      <c r="Y536" s="1086">
        <v>0</v>
      </c>
      <c r="Z536" s="1086">
        <v>0</v>
      </c>
      <c r="AA536" s="1086">
        <v>0</v>
      </c>
      <c r="AB536" s="1086">
        <v>0</v>
      </c>
      <c r="AC536" s="1086">
        <v>5525</v>
      </c>
      <c r="AD536" s="1086" t="s">
        <v>248</v>
      </c>
      <c r="AE536" s="1086" t="s">
        <v>3883</v>
      </c>
      <c r="AF536" s="1086">
        <f t="shared" si="33"/>
        <v>5525</v>
      </c>
      <c r="AG536" s="1086">
        <f t="shared" si="32"/>
        <v>0</v>
      </c>
      <c r="AQ536" s="1086">
        <v>0</v>
      </c>
      <c r="AR536" s="1086">
        <v>0</v>
      </c>
      <c r="AS536" s="1086">
        <v>5525</v>
      </c>
      <c r="AT536" s="1086">
        <f t="shared" si="34"/>
        <v>0</v>
      </c>
      <c r="AV536" s="1150">
        <f t="shared" si="35"/>
        <v>0</v>
      </c>
    </row>
    <row r="537" spans="1:48" x14ac:dyDescent="0.2">
      <c r="A537" s="19">
        <v>549</v>
      </c>
      <c r="B537" t="s">
        <v>1837</v>
      </c>
      <c r="C537" t="s">
        <v>2074</v>
      </c>
      <c r="D537" t="s">
        <v>1051</v>
      </c>
      <c r="E537" t="s">
        <v>2258</v>
      </c>
      <c r="F537" t="s">
        <v>2452</v>
      </c>
      <c r="H537" t="s">
        <v>3836</v>
      </c>
      <c r="I537">
        <v>0</v>
      </c>
      <c r="L537" t="s">
        <v>3042</v>
      </c>
      <c r="M537" s="1086">
        <v>14623.88</v>
      </c>
      <c r="N537" s="1086">
        <v>0</v>
      </c>
      <c r="O537" s="1086">
        <v>0</v>
      </c>
      <c r="P537" s="1086">
        <v>0</v>
      </c>
      <c r="Q537" s="1086">
        <v>0</v>
      </c>
      <c r="R537" s="1086">
        <v>0</v>
      </c>
      <c r="S537" s="1086">
        <v>0</v>
      </c>
      <c r="T537" s="1086">
        <v>0</v>
      </c>
      <c r="U537" s="1086">
        <v>0</v>
      </c>
      <c r="V537" s="1086">
        <v>0</v>
      </c>
      <c r="W537" s="1086">
        <v>0</v>
      </c>
      <c r="X537" s="1086">
        <v>0</v>
      </c>
      <c r="Y537" s="1086">
        <v>0</v>
      </c>
      <c r="Z537" s="1086">
        <v>0</v>
      </c>
      <c r="AA537" s="1086">
        <v>0</v>
      </c>
      <c r="AB537" s="1086">
        <v>0</v>
      </c>
      <c r="AC537" s="1086">
        <v>14623.88</v>
      </c>
      <c r="AD537" s="1086" t="s">
        <v>248</v>
      </c>
      <c r="AE537" s="1086" t="s">
        <v>3883</v>
      </c>
      <c r="AF537" s="1086">
        <f t="shared" si="33"/>
        <v>14623.88</v>
      </c>
      <c r="AG537" s="1086">
        <f t="shared" si="32"/>
        <v>0</v>
      </c>
      <c r="AQ537" s="1086">
        <v>0</v>
      </c>
      <c r="AR537" s="1086">
        <v>0</v>
      </c>
      <c r="AS537" s="1086">
        <v>14623.88</v>
      </c>
      <c r="AT537" s="1086">
        <f t="shared" si="34"/>
        <v>0</v>
      </c>
      <c r="AV537" s="1150">
        <f t="shared" si="35"/>
        <v>0</v>
      </c>
    </row>
    <row r="538" spans="1:48" x14ac:dyDescent="0.2">
      <c r="A538" s="19">
        <v>550</v>
      </c>
      <c r="B538" t="s">
        <v>1838</v>
      </c>
      <c r="C538" t="s">
        <v>2074</v>
      </c>
      <c r="D538" t="s">
        <v>1051</v>
      </c>
      <c r="E538" t="s">
        <v>2258</v>
      </c>
      <c r="F538" t="s">
        <v>2452</v>
      </c>
      <c r="H538" t="s">
        <v>3836</v>
      </c>
      <c r="I538">
        <v>0</v>
      </c>
      <c r="L538" t="s">
        <v>3043</v>
      </c>
      <c r="M538" s="1086">
        <v>18229.68</v>
      </c>
      <c r="N538" s="1086">
        <v>0</v>
      </c>
      <c r="O538" s="1086">
        <v>0</v>
      </c>
      <c r="P538" s="1086">
        <v>0</v>
      </c>
      <c r="Q538" s="1086">
        <v>0</v>
      </c>
      <c r="R538" s="1086">
        <v>0</v>
      </c>
      <c r="S538" s="1086">
        <v>0</v>
      </c>
      <c r="T538" s="1086">
        <v>0</v>
      </c>
      <c r="U538" s="1086">
        <v>0</v>
      </c>
      <c r="V538" s="1086">
        <v>0</v>
      </c>
      <c r="W538" s="1086">
        <v>0</v>
      </c>
      <c r="X538" s="1086">
        <v>0</v>
      </c>
      <c r="Y538" s="1086">
        <v>0</v>
      </c>
      <c r="Z538" s="1086">
        <v>0</v>
      </c>
      <c r="AA538" s="1086">
        <v>0</v>
      </c>
      <c r="AB538" s="1086">
        <v>0</v>
      </c>
      <c r="AC538" s="1086">
        <v>18229.68</v>
      </c>
      <c r="AD538" s="1086" t="s">
        <v>248</v>
      </c>
      <c r="AE538" s="1086" t="s">
        <v>3883</v>
      </c>
      <c r="AF538" s="1086">
        <f t="shared" si="33"/>
        <v>18229.68</v>
      </c>
      <c r="AG538" s="1086">
        <f t="shared" si="32"/>
        <v>0</v>
      </c>
      <c r="AQ538" s="1086">
        <v>0</v>
      </c>
      <c r="AR538" s="1086">
        <v>0</v>
      </c>
      <c r="AS538" s="1086">
        <v>18229.68</v>
      </c>
      <c r="AT538" s="1086">
        <f t="shared" si="34"/>
        <v>0</v>
      </c>
      <c r="AV538" s="1150">
        <f t="shared" si="35"/>
        <v>0</v>
      </c>
    </row>
    <row r="539" spans="1:48" x14ac:dyDescent="0.2">
      <c r="A539" s="19">
        <v>551</v>
      </c>
      <c r="B539" t="s">
        <v>1839</v>
      </c>
      <c r="C539" t="s">
        <v>2074</v>
      </c>
      <c r="D539" t="s">
        <v>1051</v>
      </c>
      <c r="E539" t="s">
        <v>2258</v>
      </c>
      <c r="F539" t="s">
        <v>2452</v>
      </c>
      <c r="H539" t="s">
        <v>3836</v>
      </c>
      <c r="I539">
        <v>0</v>
      </c>
      <c r="L539" t="s">
        <v>3044</v>
      </c>
      <c r="M539" s="1086">
        <v>11771.09</v>
      </c>
      <c r="N539" s="1086">
        <v>0</v>
      </c>
      <c r="O539" s="1086">
        <v>0</v>
      </c>
      <c r="P539" s="1086">
        <v>0</v>
      </c>
      <c r="Q539" s="1086">
        <v>0</v>
      </c>
      <c r="R539" s="1086">
        <v>0</v>
      </c>
      <c r="S539" s="1086">
        <v>0</v>
      </c>
      <c r="T539" s="1086">
        <v>0</v>
      </c>
      <c r="U539" s="1086">
        <v>0</v>
      </c>
      <c r="V539" s="1086">
        <v>0</v>
      </c>
      <c r="W539" s="1086">
        <v>0</v>
      </c>
      <c r="X539" s="1086">
        <v>0</v>
      </c>
      <c r="Y539" s="1086">
        <v>0</v>
      </c>
      <c r="Z539" s="1086">
        <v>0</v>
      </c>
      <c r="AA539" s="1086">
        <v>0</v>
      </c>
      <c r="AB539" s="1086">
        <v>0</v>
      </c>
      <c r="AC539" s="1086">
        <v>11771.09</v>
      </c>
      <c r="AD539" s="1086" t="s">
        <v>248</v>
      </c>
      <c r="AE539" s="1086" t="s">
        <v>3883</v>
      </c>
      <c r="AF539" s="1086">
        <f t="shared" si="33"/>
        <v>11771.09</v>
      </c>
      <c r="AG539" s="1086">
        <f t="shared" si="32"/>
        <v>0</v>
      </c>
      <c r="AQ539" s="1086">
        <v>0</v>
      </c>
      <c r="AR539" s="1086">
        <v>0</v>
      </c>
      <c r="AS539" s="1086">
        <v>11771.09</v>
      </c>
      <c r="AT539" s="1086">
        <f t="shared" si="34"/>
        <v>0</v>
      </c>
      <c r="AV539" s="1150">
        <f t="shared" si="35"/>
        <v>0</v>
      </c>
    </row>
    <row r="540" spans="1:48" x14ac:dyDescent="0.2">
      <c r="A540" s="19">
        <v>552</v>
      </c>
      <c r="B540" t="s">
        <v>1840</v>
      </c>
      <c r="C540" t="s">
        <v>2074</v>
      </c>
      <c r="D540" t="s">
        <v>1051</v>
      </c>
      <c r="E540" t="s">
        <v>2258</v>
      </c>
      <c r="F540" t="s">
        <v>2452</v>
      </c>
      <c r="H540" t="s">
        <v>3836</v>
      </c>
      <c r="I540">
        <v>0</v>
      </c>
      <c r="L540" t="s">
        <v>3045</v>
      </c>
      <c r="M540" s="1086">
        <v>5100</v>
      </c>
      <c r="N540" s="1086">
        <v>0</v>
      </c>
      <c r="O540" s="1086">
        <v>0</v>
      </c>
      <c r="P540" s="1086">
        <v>0</v>
      </c>
      <c r="Q540" s="1086">
        <v>0</v>
      </c>
      <c r="R540" s="1086">
        <v>0</v>
      </c>
      <c r="S540" s="1086">
        <v>0</v>
      </c>
      <c r="T540" s="1086">
        <v>0</v>
      </c>
      <c r="U540" s="1086">
        <v>0</v>
      </c>
      <c r="V540" s="1086">
        <v>0</v>
      </c>
      <c r="W540" s="1086">
        <v>0</v>
      </c>
      <c r="X540" s="1086">
        <v>0</v>
      </c>
      <c r="Y540" s="1086">
        <v>0</v>
      </c>
      <c r="Z540" s="1086">
        <v>0</v>
      </c>
      <c r="AA540" s="1086">
        <v>0</v>
      </c>
      <c r="AB540" s="1086">
        <v>0</v>
      </c>
      <c r="AC540" s="1086">
        <v>5100</v>
      </c>
      <c r="AD540" s="1086" t="s">
        <v>248</v>
      </c>
      <c r="AE540" s="1086" t="s">
        <v>3883</v>
      </c>
      <c r="AF540" s="1086">
        <f t="shared" si="33"/>
        <v>5100</v>
      </c>
      <c r="AG540" s="1086">
        <f t="shared" si="32"/>
        <v>0</v>
      </c>
      <c r="AQ540" s="1086">
        <v>0</v>
      </c>
      <c r="AR540" s="1086">
        <v>0</v>
      </c>
      <c r="AS540" s="1086">
        <v>5100</v>
      </c>
      <c r="AT540" s="1086">
        <f t="shared" si="34"/>
        <v>0</v>
      </c>
      <c r="AV540" s="1150">
        <f t="shared" si="35"/>
        <v>0</v>
      </c>
    </row>
    <row r="541" spans="1:48" x14ac:dyDescent="0.2">
      <c r="A541" s="19">
        <v>553</v>
      </c>
      <c r="B541" t="s">
        <v>1841</v>
      </c>
      <c r="C541" t="s">
        <v>2074</v>
      </c>
      <c r="D541" t="s">
        <v>1051</v>
      </c>
      <c r="E541" t="s">
        <v>2258</v>
      </c>
      <c r="F541" t="s">
        <v>2452</v>
      </c>
      <c r="H541" t="s">
        <v>3836</v>
      </c>
      <c r="I541">
        <v>0</v>
      </c>
      <c r="L541" t="s">
        <v>3046</v>
      </c>
      <c r="M541" s="1086">
        <v>10000</v>
      </c>
      <c r="N541" s="1086">
        <v>0</v>
      </c>
      <c r="O541" s="1086">
        <v>0</v>
      </c>
      <c r="P541" s="1086">
        <v>0</v>
      </c>
      <c r="Q541" s="1086">
        <v>0</v>
      </c>
      <c r="R541" s="1086">
        <v>0</v>
      </c>
      <c r="S541" s="1086">
        <v>0</v>
      </c>
      <c r="T541" s="1086">
        <v>0</v>
      </c>
      <c r="U541" s="1086">
        <v>0</v>
      </c>
      <c r="V541" s="1086">
        <v>0</v>
      </c>
      <c r="W541" s="1086">
        <v>0</v>
      </c>
      <c r="X541" s="1086">
        <v>0</v>
      </c>
      <c r="Y541" s="1086">
        <v>0</v>
      </c>
      <c r="Z541" s="1086">
        <v>0</v>
      </c>
      <c r="AA541" s="1086">
        <v>0</v>
      </c>
      <c r="AB541" s="1086">
        <v>0</v>
      </c>
      <c r="AC541" s="1086">
        <v>10000</v>
      </c>
      <c r="AD541" s="1086" t="s">
        <v>248</v>
      </c>
      <c r="AE541" s="1086" t="s">
        <v>3883</v>
      </c>
      <c r="AF541" s="1086">
        <f t="shared" si="33"/>
        <v>10000</v>
      </c>
      <c r="AG541" s="1086">
        <f t="shared" si="32"/>
        <v>0</v>
      </c>
      <c r="AQ541" s="1086">
        <v>0</v>
      </c>
      <c r="AR541" s="1086">
        <v>0</v>
      </c>
      <c r="AS541" s="1086">
        <v>10000</v>
      </c>
      <c r="AT541" s="1086">
        <f t="shared" si="34"/>
        <v>0</v>
      </c>
      <c r="AV541" s="1150">
        <f t="shared" si="35"/>
        <v>0</v>
      </c>
    </row>
    <row r="542" spans="1:48" x14ac:dyDescent="0.2">
      <c r="A542" s="19">
        <v>554</v>
      </c>
      <c r="B542" t="s">
        <v>1842</v>
      </c>
      <c r="C542" t="s">
        <v>2074</v>
      </c>
      <c r="D542" t="s">
        <v>1051</v>
      </c>
      <c r="E542" t="s">
        <v>2258</v>
      </c>
      <c r="F542" t="s">
        <v>2452</v>
      </c>
      <c r="H542" t="s">
        <v>3836</v>
      </c>
      <c r="I542">
        <v>0</v>
      </c>
      <c r="L542" t="s">
        <v>3047</v>
      </c>
      <c r="M542" s="1086">
        <v>32766.41</v>
      </c>
      <c r="N542" s="1086">
        <v>0</v>
      </c>
      <c r="O542" s="1086">
        <v>0</v>
      </c>
      <c r="P542" s="1086">
        <v>0</v>
      </c>
      <c r="Q542" s="1086">
        <v>0</v>
      </c>
      <c r="R542" s="1086">
        <v>0</v>
      </c>
      <c r="S542" s="1086">
        <v>0</v>
      </c>
      <c r="T542" s="1086">
        <v>0</v>
      </c>
      <c r="U542" s="1086">
        <v>0</v>
      </c>
      <c r="V542" s="1086">
        <v>0</v>
      </c>
      <c r="W542" s="1086">
        <v>0</v>
      </c>
      <c r="X542" s="1086">
        <v>0</v>
      </c>
      <c r="Y542" s="1086">
        <v>0</v>
      </c>
      <c r="Z542" s="1086">
        <v>0</v>
      </c>
      <c r="AA542" s="1086">
        <v>0</v>
      </c>
      <c r="AB542" s="1086">
        <v>0</v>
      </c>
      <c r="AC542" s="1086">
        <v>32766.41</v>
      </c>
      <c r="AD542" s="1086" t="s">
        <v>248</v>
      </c>
      <c r="AE542" s="1086" t="s">
        <v>3883</v>
      </c>
      <c r="AF542" s="1086">
        <f t="shared" si="33"/>
        <v>32766.41</v>
      </c>
      <c r="AG542" s="1086">
        <f t="shared" si="32"/>
        <v>0</v>
      </c>
      <c r="AQ542" s="1086">
        <v>0</v>
      </c>
      <c r="AR542" s="1086">
        <v>0</v>
      </c>
      <c r="AS542" s="1086">
        <v>32766.41</v>
      </c>
      <c r="AT542" s="1086">
        <f t="shared" si="34"/>
        <v>0</v>
      </c>
      <c r="AV542" s="1150">
        <f t="shared" si="35"/>
        <v>0</v>
      </c>
    </row>
    <row r="543" spans="1:48" x14ac:dyDescent="0.2">
      <c r="A543" s="19">
        <v>555</v>
      </c>
      <c r="B543" t="s">
        <v>1843</v>
      </c>
      <c r="C543" t="s">
        <v>2074</v>
      </c>
      <c r="D543" t="s">
        <v>1051</v>
      </c>
      <c r="E543" t="s">
        <v>2258</v>
      </c>
      <c r="F543" t="s">
        <v>2452</v>
      </c>
      <c r="H543" t="s">
        <v>3836</v>
      </c>
      <c r="I543">
        <v>0</v>
      </c>
      <c r="L543" t="s">
        <v>3048</v>
      </c>
      <c r="M543" s="1086">
        <v>18269.060000000001</v>
      </c>
      <c r="N543" s="1086">
        <v>0</v>
      </c>
      <c r="O543" s="1086">
        <v>0</v>
      </c>
      <c r="P543" s="1086">
        <v>0</v>
      </c>
      <c r="Q543" s="1086">
        <v>0</v>
      </c>
      <c r="R543" s="1086">
        <v>0</v>
      </c>
      <c r="S543" s="1086">
        <v>0</v>
      </c>
      <c r="T543" s="1086">
        <v>0</v>
      </c>
      <c r="U543" s="1086">
        <v>0</v>
      </c>
      <c r="V543" s="1086">
        <v>0</v>
      </c>
      <c r="W543" s="1086">
        <v>0</v>
      </c>
      <c r="X543" s="1086">
        <v>0</v>
      </c>
      <c r="Y543" s="1086">
        <v>0</v>
      </c>
      <c r="Z543" s="1086">
        <v>0</v>
      </c>
      <c r="AA543" s="1086">
        <v>0</v>
      </c>
      <c r="AB543" s="1086">
        <v>0</v>
      </c>
      <c r="AC543" s="1086">
        <v>18269.060000000001</v>
      </c>
      <c r="AD543" s="1086" t="s">
        <v>248</v>
      </c>
      <c r="AE543" s="1086" t="s">
        <v>3883</v>
      </c>
      <c r="AF543" s="1086">
        <f t="shared" si="33"/>
        <v>18269.060000000001</v>
      </c>
      <c r="AG543" s="1086">
        <f t="shared" si="32"/>
        <v>0</v>
      </c>
      <c r="AQ543" s="1086">
        <v>0</v>
      </c>
      <c r="AR543" s="1086">
        <v>0</v>
      </c>
      <c r="AS543" s="1086">
        <v>18269.060000000001</v>
      </c>
      <c r="AT543" s="1086">
        <f t="shared" si="34"/>
        <v>0</v>
      </c>
      <c r="AV543" s="1150">
        <f t="shared" si="35"/>
        <v>0</v>
      </c>
    </row>
    <row r="544" spans="1:48" x14ac:dyDescent="0.2">
      <c r="A544" s="19">
        <v>556</v>
      </c>
      <c r="B544" t="s">
        <v>1844</v>
      </c>
      <c r="C544" t="s">
        <v>2074</v>
      </c>
      <c r="D544" t="s">
        <v>1051</v>
      </c>
      <c r="E544" t="s">
        <v>2258</v>
      </c>
      <c r="F544" t="s">
        <v>2452</v>
      </c>
      <c r="H544" t="s">
        <v>3836</v>
      </c>
      <c r="I544">
        <v>0</v>
      </c>
      <c r="L544" t="s">
        <v>3049</v>
      </c>
      <c r="M544" s="1086">
        <v>383550.65</v>
      </c>
      <c r="N544" s="1086">
        <v>0</v>
      </c>
      <c r="O544" s="1086">
        <v>0</v>
      </c>
      <c r="P544" s="1086">
        <v>0</v>
      </c>
      <c r="Q544" s="1086">
        <v>0</v>
      </c>
      <c r="R544" s="1086">
        <v>0</v>
      </c>
      <c r="S544" s="1086">
        <v>0</v>
      </c>
      <c r="T544" s="1086">
        <v>0</v>
      </c>
      <c r="U544" s="1086">
        <v>0</v>
      </c>
      <c r="V544" s="1086">
        <v>0</v>
      </c>
      <c r="W544" s="1086">
        <v>0</v>
      </c>
      <c r="X544" s="1086">
        <v>0</v>
      </c>
      <c r="Y544" s="1086">
        <v>0</v>
      </c>
      <c r="Z544" s="1086">
        <v>0</v>
      </c>
      <c r="AA544" s="1086">
        <v>0</v>
      </c>
      <c r="AB544" s="1086">
        <v>0</v>
      </c>
      <c r="AC544" s="1086">
        <v>383550.65</v>
      </c>
      <c r="AD544" s="1086" t="s">
        <v>248</v>
      </c>
      <c r="AE544" s="1086" t="s">
        <v>3883</v>
      </c>
      <c r="AF544" s="1086">
        <f t="shared" si="33"/>
        <v>383550.65</v>
      </c>
      <c r="AG544" s="1086">
        <f t="shared" si="32"/>
        <v>0</v>
      </c>
      <c r="AQ544" s="1086">
        <v>0</v>
      </c>
      <c r="AR544" s="1086">
        <v>0</v>
      </c>
      <c r="AS544" s="1086">
        <v>383550.65</v>
      </c>
      <c r="AT544" s="1086">
        <f t="shared" si="34"/>
        <v>0</v>
      </c>
      <c r="AV544" s="1150">
        <f t="shared" si="35"/>
        <v>0</v>
      </c>
    </row>
    <row r="545" spans="1:48" x14ac:dyDescent="0.2">
      <c r="A545" s="19">
        <v>557</v>
      </c>
      <c r="B545" t="s">
        <v>1845</v>
      </c>
      <c r="C545" t="s">
        <v>2074</v>
      </c>
      <c r="D545" t="s">
        <v>1051</v>
      </c>
      <c r="E545" t="s">
        <v>2258</v>
      </c>
      <c r="F545" t="s">
        <v>2452</v>
      </c>
      <c r="H545" t="s">
        <v>3836</v>
      </c>
      <c r="I545">
        <v>0</v>
      </c>
      <c r="L545" t="s">
        <v>3050</v>
      </c>
      <c r="M545" s="1086">
        <v>1139270</v>
      </c>
      <c r="N545" s="1086">
        <v>0</v>
      </c>
      <c r="O545" s="1086">
        <v>0</v>
      </c>
      <c r="P545" s="1086">
        <v>0</v>
      </c>
      <c r="Q545" s="1086">
        <v>0</v>
      </c>
      <c r="R545" s="1086">
        <v>0</v>
      </c>
      <c r="S545" s="1086">
        <v>0</v>
      </c>
      <c r="T545" s="1086">
        <v>0</v>
      </c>
      <c r="U545" s="1086">
        <v>0</v>
      </c>
      <c r="V545" s="1086">
        <v>0</v>
      </c>
      <c r="W545" s="1086">
        <v>0</v>
      </c>
      <c r="X545" s="1086">
        <v>0</v>
      </c>
      <c r="Y545" s="1086">
        <v>0</v>
      </c>
      <c r="Z545" s="1086">
        <v>0</v>
      </c>
      <c r="AA545" s="1086">
        <v>0</v>
      </c>
      <c r="AB545" s="1086">
        <v>0</v>
      </c>
      <c r="AC545" s="1086">
        <v>1139270</v>
      </c>
      <c r="AD545" s="1086" t="s">
        <v>248</v>
      </c>
      <c r="AE545" s="1086" t="s">
        <v>3883</v>
      </c>
      <c r="AF545" s="1086">
        <f t="shared" si="33"/>
        <v>1139270</v>
      </c>
      <c r="AG545" s="1086">
        <f t="shared" si="32"/>
        <v>0</v>
      </c>
      <c r="AQ545" s="1086">
        <v>0</v>
      </c>
      <c r="AR545" s="1086">
        <v>0</v>
      </c>
      <c r="AS545" s="1086">
        <v>1139270</v>
      </c>
      <c r="AT545" s="1086">
        <f t="shared" si="34"/>
        <v>0</v>
      </c>
      <c r="AV545" s="1150">
        <f t="shared" si="35"/>
        <v>0</v>
      </c>
    </row>
    <row r="546" spans="1:48" x14ac:dyDescent="0.2">
      <c r="A546" s="19">
        <v>558</v>
      </c>
      <c r="B546" t="s">
        <v>1846</v>
      </c>
      <c r="C546" t="s">
        <v>2074</v>
      </c>
      <c r="D546" t="s">
        <v>1051</v>
      </c>
      <c r="E546" t="s">
        <v>2258</v>
      </c>
      <c r="F546" t="s">
        <v>2452</v>
      </c>
      <c r="H546" t="s">
        <v>3836</v>
      </c>
      <c r="I546">
        <v>0</v>
      </c>
      <c r="L546" t="s">
        <v>3051</v>
      </c>
      <c r="M546" s="1086">
        <v>141044</v>
      </c>
      <c r="N546" s="1086">
        <v>0</v>
      </c>
      <c r="O546" s="1086">
        <v>0</v>
      </c>
      <c r="P546" s="1086">
        <v>0</v>
      </c>
      <c r="Q546" s="1086">
        <v>0</v>
      </c>
      <c r="R546" s="1086">
        <v>0</v>
      </c>
      <c r="S546" s="1086">
        <v>0</v>
      </c>
      <c r="T546" s="1086">
        <v>0</v>
      </c>
      <c r="U546" s="1086">
        <v>0</v>
      </c>
      <c r="V546" s="1086">
        <v>0</v>
      </c>
      <c r="W546" s="1086">
        <v>0</v>
      </c>
      <c r="X546" s="1086">
        <v>0</v>
      </c>
      <c r="Y546" s="1086">
        <v>0</v>
      </c>
      <c r="Z546" s="1086">
        <v>0</v>
      </c>
      <c r="AA546" s="1086">
        <v>0</v>
      </c>
      <c r="AB546" s="1086">
        <v>0</v>
      </c>
      <c r="AC546" s="1086">
        <v>141044</v>
      </c>
      <c r="AD546" s="1086" t="s">
        <v>248</v>
      </c>
      <c r="AE546" s="1086" t="s">
        <v>3883</v>
      </c>
      <c r="AF546" s="1086">
        <f t="shared" si="33"/>
        <v>141044</v>
      </c>
      <c r="AG546" s="1086">
        <f t="shared" si="32"/>
        <v>0</v>
      </c>
      <c r="AQ546" s="1086">
        <v>0</v>
      </c>
      <c r="AR546" s="1086">
        <v>0</v>
      </c>
      <c r="AS546" s="1086">
        <v>141044</v>
      </c>
      <c r="AT546" s="1086">
        <f t="shared" si="34"/>
        <v>0</v>
      </c>
      <c r="AV546" s="1150">
        <f t="shared" si="35"/>
        <v>0</v>
      </c>
    </row>
    <row r="547" spans="1:48" x14ac:dyDescent="0.2">
      <c r="A547" s="19">
        <v>559</v>
      </c>
      <c r="B547" t="s">
        <v>1847</v>
      </c>
      <c r="C547" t="s">
        <v>2074</v>
      </c>
      <c r="D547" t="s">
        <v>1051</v>
      </c>
      <c r="E547" t="s">
        <v>2258</v>
      </c>
      <c r="F547" t="s">
        <v>2452</v>
      </c>
      <c r="H547" t="s">
        <v>3836</v>
      </c>
      <c r="I547">
        <v>0</v>
      </c>
      <c r="L547" t="s">
        <v>3052</v>
      </c>
      <c r="M547" s="1086">
        <v>31060.61</v>
      </c>
      <c r="N547" s="1086">
        <v>0</v>
      </c>
      <c r="O547" s="1086">
        <v>0</v>
      </c>
      <c r="P547" s="1086">
        <v>0</v>
      </c>
      <c r="Q547" s="1086">
        <v>0</v>
      </c>
      <c r="R547" s="1086">
        <v>0</v>
      </c>
      <c r="S547" s="1086">
        <v>0</v>
      </c>
      <c r="T547" s="1086">
        <v>0</v>
      </c>
      <c r="U547" s="1086">
        <v>0</v>
      </c>
      <c r="V547" s="1086">
        <v>0</v>
      </c>
      <c r="W547" s="1086">
        <v>0</v>
      </c>
      <c r="X547" s="1086">
        <v>0</v>
      </c>
      <c r="Y547" s="1086">
        <v>0</v>
      </c>
      <c r="Z547" s="1086">
        <v>0</v>
      </c>
      <c r="AA547" s="1086">
        <v>0</v>
      </c>
      <c r="AB547" s="1086">
        <v>0</v>
      </c>
      <c r="AC547" s="1086">
        <v>31060.61</v>
      </c>
      <c r="AD547" s="1086" t="s">
        <v>248</v>
      </c>
      <c r="AE547" s="1086" t="s">
        <v>3883</v>
      </c>
      <c r="AF547" s="1086">
        <f t="shared" si="33"/>
        <v>31060.61</v>
      </c>
      <c r="AG547" s="1086">
        <f t="shared" si="32"/>
        <v>0</v>
      </c>
      <c r="AQ547" s="1086">
        <v>0</v>
      </c>
      <c r="AR547" s="1086">
        <v>0</v>
      </c>
      <c r="AS547" s="1086">
        <v>31060.61</v>
      </c>
      <c r="AT547" s="1086">
        <f t="shared" si="34"/>
        <v>0</v>
      </c>
      <c r="AV547" s="1150">
        <f t="shared" si="35"/>
        <v>0</v>
      </c>
    </row>
    <row r="548" spans="1:48" x14ac:dyDescent="0.2">
      <c r="A548" s="19">
        <v>560</v>
      </c>
      <c r="B548" t="s">
        <v>1848</v>
      </c>
      <c r="C548" t="s">
        <v>2074</v>
      </c>
      <c r="D548" t="s">
        <v>1051</v>
      </c>
      <c r="E548" t="s">
        <v>2258</v>
      </c>
      <c r="F548" t="s">
        <v>2452</v>
      </c>
      <c r="H548" t="s">
        <v>3836</v>
      </c>
      <c r="I548">
        <v>0</v>
      </c>
      <c r="L548" t="s">
        <v>3053</v>
      </c>
      <c r="M548" s="1086">
        <v>14408.8</v>
      </c>
      <c r="N548" s="1086">
        <v>0</v>
      </c>
      <c r="O548" s="1086">
        <v>0</v>
      </c>
      <c r="P548" s="1086">
        <v>0</v>
      </c>
      <c r="Q548" s="1086">
        <v>0</v>
      </c>
      <c r="R548" s="1086">
        <v>0</v>
      </c>
      <c r="S548" s="1086">
        <v>0</v>
      </c>
      <c r="T548" s="1086">
        <v>0</v>
      </c>
      <c r="U548" s="1086">
        <v>0</v>
      </c>
      <c r="V548" s="1086">
        <v>0</v>
      </c>
      <c r="W548" s="1086">
        <v>0</v>
      </c>
      <c r="X548" s="1086">
        <v>0</v>
      </c>
      <c r="Y548" s="1086">
        <v>0</v>
      </c>
      <c r="Z548" s="1086">
        <v>0</v>
      </c>
      <c r="AA548" s="1086">
        <v>0</v>
      </c>
      <c r="AB548" s="1086">
        <v>0</v>
      </c>
      <c r="AC548" s="1086">
        <v>14408.8</v>
      </c>
      <c r="AD548" s="1086" t="s">
        <v>248</v>
      </c>
      <c r="AE548" s="1086" t="s">
        <v>3883</v>
      </c>
      <c r="AF548" s="1086">
        <f t="shared" si="33"/>
        <v>14408.8</v>
      </c>
      <c r="AG548" s="1086">
        <f t="shared" si="32"/>
        <v>0</v>
      </c>
      <c r="AQ548" s="1086">
        <v>0</v>
      </c>
      <c r="AR548" s="1086">
        <v>0</v>
      </c>
      <c r="AS548" s="1086">
        <v>14408.8</v>
      </c>
      <c r="AT548" s="1086">
        <f t="shared" si="34"/>
        <v>0</v>
      </c>
      <c r="AV548" s="1150">
        <f t="shared" si="35"/>
        <v>0</v>
      </c>
    </row>
    <row r="549" spans="1:48" x14ac:dyDescent="0.2">
      <c r="A549" s="19">
        <v>561</v>
      </c>
      <c r="B549" t="s">
        <v>1849</v>
      </c>
      <c r="C549" t="s">
        <v>2074</v>
      </c>
      <c r="D549" t="s">
        <v>1051</v>
      </c>
      <c r="E549" t="s">
        <v>2258</v>
      </c>
      <c r="F549" t="s">
        <v>2452</v>
      </c>
      <c r="H549" t="s">
        <v>3836</v>
      </c>
      <c r="I549">
        <v>0</v>
      </c>
      <c r="L549" t="s">
        <v>3054</v>
      </c>
      <c r="M549" s="1086">
        <v>10000</v>
      </c>
      <c r="N549" s="1086">
        <v>0</v>
      </c>
      <c r="O549" s="1086">
        <v>0</v>
      </c>
      <c r="P549" s="1086">
        <v>0</v>
      </c>
      <c r="Q549" s="1086">
        <v>0</v>
      </c>
      <c r="R549" s="1086">
        <v>0</v>
      </c>
      <c r="S549" s="1086">
        <v>0</v>
      </c>
      <c r="T549" s="1086">
        <v>0</v>
      </c>
      <c r="U549" s="1086">
        <v>0</v>
      </c>
      <c r="V549" s="1086">
        <v>0</v>
      </c>
      <c r="W549" s="1086">
        <v>0</v>
      </c>
      <c r="X549" s="1086">
        <v>0</v>
      </c>
      <c r="Y549" s="1086">
        <v>0</v>
      </c>
      <c r="Z549" s="1086">
        <v>0</v>
      </c>
      <c r="AA549" s="1086">
        <v>0</v>
      </c>
      <c r="AB549" s="1086">
        <v>0</v>
      </c>
      <c r="AC549" s="1086">
        <v>10000</v>
      </c>
      <c r="AD549" s="1086" t="s">
        <v>248</v>
      </c>
      <c r="AE549" s="1086" t="s">
        <v>3883</v>
      </c>
      <c r="AF549" s="1086">
        <f t="shared" si="33"/>
        <v>10000</v>
      </c>
      <c r="AG549" s="1086">
        <f t="shared" si="32"/>
        <v>0</v>
      </c>
      <c r="AQ549" s="1086">
        <v>0</v>
      </c>
      <c r="AR549" s="1086">
        <v>0</v>
      </c>
      <c r="AS549" s="1086">
        <v>10000</v>
      </c>
      <c r="AT549" s="1086">
        <f t="shared" si="34"/>
        <v>0</v>
      </c>
      <c r="AV549" s="1150">
        <f t="shared" si="35"/>
        <v>0</v>
      </c>
    </row>
    <row r="550" spans="1:48" x14ac:dyDescent="0.2">
      <c r="A550" s="19">
        <v>562</v>
      </c>
      <c r="B550" t="s">
        <v>1850</v>
      </c>
      <c r="C550" t="s">
        <v>2074</v>
      </c>
      <c r="D550" t="s">
        <v>1051</v>
      </c>
      <c r="E550" t="s">
        <v>2258</v>
      </c>
      <c r="F550" t="s">
        <v>2452</v>
      </c>
      <c r="H550" t="s">
        <v>3836</v>
      </c>
      <c r="I550">
        <v>0</v>
      </c>
      <c r="L550" t="s">
        <v>3055</v>
      </c>
      <c r="M550" s="1086">
        <v>10000</v>
      </c>
      <c r="N550" s="1086">
        <v>0</v>
      </c>
      <c r="O550" s="1086">
        <v>0</v>
      </c>
      <c r="P550" s="1086">
        <v>0</v>
      </c>
      <c r="Q550" s="1086">
        <v>0</v>
      </c>
      <c r="R550" s="1086">
        <v>0</v>
      </c>
      <c r="S550" s="1086">
        <v>0</v>
      </c>
      <c r="T550" s="1086">
        <v>0</v>
      </c>
      <c r="U550" s="1086">
        <v>0</v>
      </c>
      <c r="V550" s="1086">
        <v>0</v>
      </c>
      <c r="W550" s="1086">
        <v>0</v>
      </c>
      <c r="X550" s="1086">
        <v>0</v>
      </c>
      <c r="Y550" s="1086">
        <v>0</v>
      </c>
      <c r="Z550" s="1086">
        <v>0</v>
      </c>
      <c r="AA550" s="1086">
        <v>0</v>
      </c>
      <c r="AB550" s="1086">
        <v>0</v>
      </c>
      <c r="AC550" s="1086">
        <v>10000</v>
      </c>
      <c r="AD550" s="1086" t="s">
        <v>248</v>
      </c>
      <c r="AE550" s="1086" t="s">
        <v>3883</v>
      </c>
      <c r="AF550" s="1086">
        <f t="shared" si="33"/>
        <v>10000</v>
      </c>
      <c r="AG550" s="1086">
        <f t="shared" si="32"/>
        <v>0</v>
      </c>
      <c r="AQ550" s="1086">
        <v>0</v>
      </c>
      <c r="AR550" s="1086">
        <v>0</v>
      </c>
      <c r="AS550" s="1086">
        <v>10000</v>
      </c>
      <c r="AT550" s="1086">
        <f t="shared" si="34"/>
        <v>0</v>
      </c>
      <c r="AV550" s="1150">
        <f t="shared" si="35"/>
        <v>0</v>
      </c>
    </row>
    <row r="551" spans="1:48" x14ac:dyDescent="0.2">
      <c r="A551" s="19">
        <v>563</v>
      </c>
      <c r="B551" t="s">
        <v>1851</v>
      </c>
      <c r="C551" t="s">
        <v>2074</v>
      </c>
      <c r="D551" t="s">
        <v>1051</v>
      </c>
      <c r="E551" t="s">
        <v>2258</v>
      </c>
      <c r="F551" t="s">
        <v>2452</v>
      </c>
      <c r="H551" t="s">
        <v>3836</v>
      </c>
      <c r="I551">
        <v>0</v>
      </c>
      <c r="L551" t="s">
        <v>3056</v>
      </c>
      <c r="M551" s="1086">
        <v>39954</v>
      </c>
      <c r="N551" s="1086">
        <v>0</v>
      </c>
      <c r="O551" s="1086">
        <v>0</v>
      </c>
      <c r="P551" s="1086">
        <v>0</v>
      </c>
      <c r="Q551" s="1086">
        <v>0</v>
      </c>
      <c r="R551" s="1086">
        <v>0</v>
      </c>
      <c r="S551" s="1086">
        <v>0</v>
      </c>
      <c r="T551" s="1086">
        <v>0</v>
      </c>
      <c r="U551" s="1086">
        <v>0</v>
      </c>
      <c r="V551" s="1086">
        <v>0</v>
      </c>
      <c r="W551" s="1086">
        <v>0</v>
      </c>
      <c r="X551" s="1086">
        <v>0</v>
      </c>
      <c r="Y551" s="1086">
        <v>0</v>
      </c>
      <c r="Z551" s="1086">
        <v>0</v>
      </c>
      <c r="AA551" s="1086">
        <v>0</v>
      </c>
      <c r="AB551" s="1086">
        <v>0</v>
      </c>
      <c r="AC551" s="1086">
        <v>39954</v>
      </c>
      <c r="AD551" s="1086" t="s">
        <v>248</v>
      </c>
      <c r="AE551" s="1086" t="s">
        <v>3883</v>
      </c>
      <c r="AF551" s="1086">
        <f t="shared" si="33"/>
        <v>39954</v>
      </c>
      <c r="AG551" s="1086">
        <f t="shared" si="32"/>
        <v>0</v>
      </c>
      <c r="AQ551" s="1086">
        <v>0</v>
      </c>
      <c r="AR551" s="1086">
        <v>0</v>
      </c>
      <c r="AS551" s="1086">
        <v>39954</v>
      </c>
      <c r="AT551" s="1086">
        <f t="shared" si="34"/>
        <v>0</v>
      </c>
      <c r="AV551" s="1150">
        <f t="shared" si="35"/>
        <v>0</v>
      </c>
    </row>
    <row r="552" spans="1:48" x14ac:dyDescent="0.2">
      <c r="A552" s="19">
        <v>564</v>
      </c>
      <c r="B552" t="s">
        <v>1852</v>
      </c>
      <c r="C552" t="s">
        <v>2074</v>
      </c>
      <c r="D552" t="s">
        <v>1051</v>
      </c>
      <c r="E552" t="s">
        <v>2258</v>
      </c>
      <c r="F552" t="s">
        <v>2452</v>
      </c>
      <c r="H552" t="s">
        <v>3836</v>
      </c>
      <c r="I552">
        <v>0</v>
      </c>
      <c r="L552" t="s">
        <v>3057</v>
      </c>
      <c r="M552" s="1086">
        <v>0</v>
      </c>
      <c r="N552" s="1086">
        <v>43177.87</v>
      </c>
      <c r="O552" s="1086">
        <v>0</v>
      </c>
      <c r="P552" s="1086">
        <v>0</v>
      </c>
      <c r="Q552" s="1086">
        <v>0</v>
      </c>
      <c r="R552" s="1086">
        <v>0</v>
      </c>
      <c r="S552" s="1086">
        <v>0</v>
      </c>
      <c r="T552" s="1086">
        <v>0</v>
      </c>
      <c r="U552" s="1086">
        <v>0</v>
      </c>
      <c r="V552" s="1086">
        <v>0</v>
      </c>
      <c r="W552" s="1086">
        <v>0</v>
      </c>
      <c r="X552" s="1086">
        <v>0</v>
      </c>
      <c r="Y552" s="1086">
        <v>0</v>
      </c>
      <c r="Z552" s="1086">
        <v>0</v>
      </c>
      <c r="AA552" s="1086">
        <v>0</v>
      </c>
      <c r="AB552" s="1086">
        <v>0</v>
      </c>
      <c r="AC552" s="1086">
        <v>43177.87</v>
      </c>
      <c r="AD552" s="1086" t="s">
        <v>248</v>
      </c>
      <c r="AE552" s="1086" t="s">
        <v>3883</v>
      </c>
      <c r="AF552" s="1086">
        <f t="shared" si="33"/>
        <v>43177.87</v>
      </c>
      <c r="AG552" s="1086">
        <f t="shared" si="32"/>
        <v>0</v>
      </c>
      <c r="AQ552" s="1086">
        <v>0</v>
      </c>
      <c r="AR552" s="1086">
        <v>0</v>
      </c>
      <c r="AS552" s="1086">
        <v>43177.87</v>
      </c>
      <c r="AT552" s="1086">
        <f t="shared" si="34"/>
        <v>0</v>
      </c>
      <c r="AV552" s="1150">
        <f t="shared" si="35"/>
        <v>0</v>
      </c>
    </row>
    <row r="553" spans="1:48" x14ac:dyDescent="0.2">
      <c r="A553" s="19">
        <v>565</v>
      </c>
      <c r="B553" t="s">
        <v>1853</v>
      </c>
      <c r="C553" t="s">
        <v>2075</v>
      </c>
      <c r="D553" t="s">
        <v>1036</v>
      </c>
      <c r="E553" t="s">
        <v>2088</v>
      </c>
      <c r="F553" t="s">
        <v>2293</v>
      </c>
      <c r="G553" t="s">
        <v>1250</v>
      </c>
      <c r="H553" t="s">
        <v>3825</v>
      </c>
      <c r="I553" t="s">
        <v>3845</v>
      </c>
      <c r="J553" t="s">
        <v>3263</v>
      </c>
      <c r="K553" t="s">
        <v>3648</v>
      </c>
      <c r="L553" t="s">
        <v>3058</v>
      </c>
      <c r="M553" s="1086">
        <v>87727.38</v>
      </c>
      <c r="N553" s="1086">
        <v>5128.2</v>
      </c>
      <c r="O553" s="1086">
        <v>0</v>
      </c>
      <c r="P553" s="1086">
        <v>8430</v>
      </c>
      <c r="Q553" s="1086">
        <v>0</v>
      </c>
      <c r="R553" s="1086">
        <v>0</v>
      </c>
      <c r="S553" s="1086">
        <v>0</v>
      </c>
      <c r="T553" s="1086">
        <v>1338.18</v>
      </c>
      <c r="U553" s="1086">
        <v>0</v>
      </c>
      <c r="V553" s="1086">
        <v>0</v>
      </c>
      <c r="W553" s="1086">
        <v>0</v>
      </c>
      <c r="X553" s="1086">
        <v>0</v>
      </c>
      <c r="Y553" s="1086">
        <v>0</v>
      </c>
      <c r="Z553" s="1086">
        <v>0</v>
      </c>
      <c r="AA553" s="1086">
        <v>0</v>
      </c>
      <c r="AB553" s="1086">
        <v>0</v>
      </c>
      <c r="AC553" s="1086">
        <v>83087.399999999994</v>
      </c>
      <c r="AD553" s="1086" t="s">
        <v>248</v>
      </c>
      <c r="AE553" s="1086" t="s">
        <v>3883</v>
      </c>
      <c r="AF553" s="1086">
        <f t="shared" si="33"/>
        <v>83087.399999999994</v>
      </c>
      <c r="AG553" s="1086">
        <f t="shared" si="32"/>
        <v>0</v>
      </c>
      <c r="AQ553" s="1086">
        <v>0</v>
      </c>
      <c r="AR553" s="1086">
        <v>0</v>
      </c>
      <c r="AS553" s="1086">
        <v>83087.399999999994</v>
      </c>
      <c r="AT553" s="1086">
        <f t="shared" si="34"/>
        <v>0</v>
      </c>
      <c r="AV553" s="1150">
        <f t="shared" si="35"/>
        <v>9768.18</v>
      </c>
    </row>
    <row r="554" spans="1:48" x14ac:dyDescent="0.2">
      <c r="A554" s="19">
        <v>566</v>
      </c>
      <c r="B554" t="s">
        <v>1854</v>
      </c>
      <c r="C554" t="s">
        <v>2075</v>
      </c>
      <c r="D554" t="s">
        <v>1050</v>
      </c>
      <c r="E554" t="s">
        <v>2100</v>
      </c>
      <c r="F554" t="s">
        <v>2302</v>
      </c>
      <c r="G554" t="s">
        <v>1250</v>
      </c>
      <c r="H554" t="s">
        <v>3825</v>
      </c>
      <c r="I554" t="s">
        <v>3845</v>
      </c>
      <c r="J554" t="s">
        <v>3272</v>
      </c>
      <c r="K554" t="s">
        <v>3649</v>
      </c>
      <c r="L554" t="s">
        <v>3059</v>
      </c>
      <c r="M554" s="1086">
        <v>191999.94</v>
      </c>
      <c r="N554" s="1086">
        <v>44481.97</v>
      </c>
      <c r="O554" s="1086">
        <v>0</v>
      </c>
      <c r="P554" s="1086">
        <v>52659.37</v>
      </c>
      <c r="Q554" s="1086">
        <v>0</v>
      </c>
      <c r="R554" s="1086">
        <v>0</v>
      </c>
      <c r="S554" s="1086">
        <v>0</v>
      </c>
      <c r="T554" s="1086">
        <v>14396.33</v>
      </c>
      <c r="U554" s="1086">
        <v>37.85</v>
      </c>
      <c r="V554" s="1086">
        <v>0</v>
      </c>
      <c r="W554" s="1086">
        <v>0</v>
      </c>
      <c r="X554" s="1086">
        <v>0</v>
      </c>
      <c r="Y554" s="1086">
        <v>0</v>
      </c>
      <c r="Z554" s="1086">
        <v>0</v>
      </c>
      <c r="AA554" s="1086">
        <v>0</v>
      </c>
      <c r="AB554" s="1086">
        <v>0</v>
      </c>
      <c r="AC554" s="1086">
        <v>169388.36</v>
      </c>
      <c r="AD554" s="1086" t="s">
        <v>248</v>
      </c>
      <c r="AE554" s="1086" t="s">
        <v>3883</v>
      </c>
      <c r="AF554" s="1086">
        <f t="shared" si="33"/>
        <v>169388.36</v>
      </c>
      <c r="AG554" s="1086">
        <f t="shared" si="32"/>
        <v>0</v>
      </c>
      <c r="AQ554" s="1086">
        <v>0</v>
      </c>
      <c r="AR554" s="1086">
        <v>0</v>
      </c>
      <c r="AS554" s="1086">
        <v>169388.36</v>
      </c>
      <c r="AT554" s="1086">
        <f t="shared" si="34"/>
        <v>0</v>
      </c>
      <c r="AV554" s="1150">
        <f t="shared" si="35"/>
        <v>67093.55</v>
      </c>
    </row>
    <row r="555" spans="1:48" x14ac:dyDescent="0.2">
      <c r="A555" s="19">
        <v>567</v>
      </c>
      <c r="B555" t="s">
        <v>1855</v>
      </c>
      <c r="C555" t="s">
        <v>2075</v>
      </c>
      <c r="D555" t="s">
        <v>1047</v>
      </c>
      <c r="E555" t="s">
        <v>2106</v>
      </c>
      <c r="F555" t="s">
        <v>2479</v>
      </c>
      <c r="G555" t="s">
        <v>608</v>
      </c>
      <c r="H555" t="s">
        <v>3826</v>
      </c>
      <c r="I555" t="s">
        <v>3845</v>
      </c>
      <c r="J555" t="s">
        <v>3260</v>
      </c>
      <c r="K555" t="s">
        <v>3650</v>
      </c>
      <c r="L555" t="s">
        <v>3060</v>
      </c>
      <c r="M555" s="1086">
        <v>0.62</v>
      </c>
      <c r="N555" s="1086">
        <v>9327.4699999999993</v>
      </c>
      <c r="O555" s="1086">
        <v>441.8</v>
      </c>
      <c r="P555" s="1086">
        <v>0</v>
      </c>
      <c r="Q555" s="1086">
        <v>0</v>
      </c>
      <c r="R555" s="1086">
        <v>0</v>
      </c>
      <c r="S555" s="1086">
        <v>0</v>
      </c>
      <c r="T555" s="1086">
        <v>0</v>
      </c>
      <c r="U555" s="1086">
        <v>7303.56</v>
      </c>
      <c r="V555" s="1086">
        <v>0</v>
      </c>
      <c r="W555" s="1086">
        <v>0</v>
      </c>
      <c r="X555" s="1086">
        <v>0</v>
      </c>
      <c r="Y555" s="1086">
        <v>0</v>
      </c>
      <c r="Z555" s="1086">
        <v>0</v>
      </c>
      <c r="AA555" s="1086">
        <v>0</v>
      </c>
      <c r="AB555" s="1086">
        <v>0</v>
      </c>
      <c r="AC555" s="1086">
        <v>2466.33</v>
      </c>
      <c r="AD555" s="1103" t="s">
        <v>608</v>
      </c>
      <c r="AE555" s="1086" t="s">
        <v>3884</v>
      </c>
      <c r="AF555" s="1086">
        <f t="shared" si="33"/>
        <v>2466.329999999999</v>
      </c>
      <c r="AG555" s="1086">
        <f t="shared" si="32"/>
        <v>0</v>
      </c>
      <c r="AQ555" s="1086">
        <v>0</v>
      </c>
      <c r="AR555" s="1086">
        <v>0</v>
      </c>
      <c r="AS555" s="1086">
        <v>2465.71</v>
      </c>
      <c r="AT555" s="1086">
        <f t="shared" si="34"/>
        <v>0.61999999999989086</v>
      </c>
      <c r="AU555" s="167" t="s">
        <v>3912</v>
      </c>
      <c r="AV555" s="1150">
        <f t="shared" si="35"/>
        <v>7303.56</v>
      </c>
    </row>
    <row r="556" spans="1:48" x14ac:dyDescent="0.2">
      <c r="A556" s="19">
        <v>568</v>
      </c>
      <c r="B556" t="s">
        <v>1856</v>
      </c>
      <c r="C556" t="s">
        <v>2075</v>
      </c>
      <c r="D556" t="s">
        <v>1036</v>
      </c>
      <c r="E556" t="s">
        <v>2113</v>
      </c>
      <c r="F556" t="s">
        <v>2310</v>
      </c>
      <c r="G556" t="s">
        <v>1250</v>
      </c>
      <c r="H556" t="s">
        <v>3825</v>
      </c>
      <c r="I556" t="s">
        <v>3845</v>
      </c>
      <c r="J556" t="s">
        <v>3263</v>
      </c>
      <c r="K556" t="s">
        <v>3651</v>
      </c>
      <c r="L556" t="s">
        <v>3061</v>
      </c>
      <c r="M556" s="1086">
        <v>52757.05</v>
      </c>
      <c r="N556" s="1086">
        <v>5471.83</v>
      </c>
      <c r="O556" s="1086">
        <v>0</v>
      </c>
      <c r="P556" s="1086">
        <v>0</v>
      </c>
      <c r="Q556" s="1086">
        <v>15000</v>
      </c>
      <c r="R556" s="1086">
        <v>0</v>
      </c>
      <c r="S556" s="1086">
        <v>0</v>
      </c>
      <c r="T556" s="1086">
        <v>5914.25</v>
      </c>
      <c r="U556" s="1086">
        <v>0</v>
      </c>
      <c r="V556" s="1086">
        <v>0</v>
      </c>
      <c r="W556" s="1086">
        <v>0</v>
      </c>
      <c r="X556" s="1086">
        <v>0</v>
      </c>
      <c r="Y556" s="1086">
        <v>0</v>
      </c>
      <c r="Z556" s="1086">
        <v>0</v>
      </c>
      <c r="AA556" s="1086">
        <v>0</v>
      </c>
      <c r="AB556" s="1086">
        <v>0</v>
      </c>
      <c r="AC556" s="1086">
        <v>37314.629999999997</v>
      </c>
      <c r="AD556" s="1086" t="s">
        <v>248</v>
      </c>
      <c r="AE556" s="1086" t="s">
        <v>3883</v>
      </c>
      <c r="AF556" s="1086">
        <f t="shared" si="33"/>
        <v>37314.630000000005</v>
      </c>
      <c r="AG556" s="1086">
        <f t="shared" si="32"/>
        <v>0</v>
      </c>
      <c r="AQ556" s="1086">
        <v>0</v>
      </c>
      <c r="AR556" s="1086">
        <v>0</v>
      </c>
      <c r="AS556" s="1086">
        <v>37314.629999999997</v>
      </c>
      <c r="AT556" s="1086">
        <f t="shared" si="34"/>
        <v>0</v>
      </c>
      <c r="AV556" s="1150">
        <f t="shared" si="35"/>
        <v>20914.25</v>
      </c>
    </row>
    <row r="557" spans="1:48" x14ac:dyDescent="0.2">
      <c r="A557" s="19">
        <v>569</v>
      </c>
      <c r="B557" t="s">
        <v>1857</v>
      </c>
      <c r="C557" t="s">
        <v>2075</v>
      </c>
      <c r="D557" t="s">
        <v>1036</v>
      </c>
      <c r="E557" t="s">
        <v>2113</v>
      </c>
      <c r="F557" t="s">
        <v>2310</v>
      </c>
      <c r="G557" t="s">
        <v>1250</v>
      </c>
      <c r="H557" t="s">
        <v>3825</v>
      </c>
      <c r="I557" t="s">
        <v>3845</v>
      </c>
      <c r="J557" t="s">
        <v>3263</v>
      </c>
      <c r="K557" t="s">
        <v>3652</v>
      </c>
      <c r="L557" t="s">
        <v>3062</v>
      </c>
      <c r="M557" s="1086">
        <v>110110.52</v>
      </c>
      <c r="N557" s="1086">
        <v>44481.98</v>
      </c>
      <c r="O557" s="1086">
        <v>0</v>
      </c>
      <c r="P557" s="1086">
        <v>68672.22</v>
      </c>
      <c r="Q557" s="1086">
        <v>0</v>
      </c>
      <c r="R557" s="1086">
        <v>0</v>
      </c>
      <c r="S557" s="1086">
        <v>0</v>
      </c>
      <c r="T557" s="1086">
        <v>21168.31</v>
      </c>
      <c r="U557" s="1086">
        <v>24121.040000000001</v>
      </c>
      <c r="V557" s="1086">
        <v>0</v>
      </c>
      <c r="W557" s="1086">
        <v>5987.38</v>
      </c>
      <c r="X557" s="1086">
        <v>1843.63</v>
      </c>
      <c r="Y557" s="1086">
        <v>0</v>
      </c>
      <c r="Z557" s="1086">
        <v>0</v>
      </c>
      <c r="AA557" s="1086">
        <v>0</v>
      </c>
      <c r="AB557" s="1086">
        <v>0</v>
      </c>
      <c r="AC557" s="1086">
        <v>32799.919999999998</v>
      </c>
      <c r="AD557" s="1086" t="s">
        <v>248</v>
      </c>
      <c r="AE557" s="1086" t="s">
        <v>3883</v>
      </c>
      <c r="AF557" s="1086">
        <f t="shared" si="33"/>
        <v>32799.919999999984</v>
      </c>
      <c r="AG557" s="1086">
        <f t="shared" si="32"/>
        <v>0</v>
      </c>
      <c r="AQ557" s="1086">
        <v>0</v>
      </c>
      <c r="AR557" s="1086">
        <v>0</v>
      </c>
      <c r="AS557" s="1086">
        <v>32799.919999999998</v>
      </c>
      <c r="AT557" s="1086">
        <f t="shared" si="34"/>
        <v>0</v>
      </c>
      <c r="AV557" s="1150">
        <f t="shared" si="35"/>
        <v>121792.58000000002</v>
      </c>
    </row>
    <row r="558" spans="1:48" x14ac:dyDescent="0.2">
      <c r="A558" s="19">
        <v>570</v>
      </c>
      <c r="B558" t="s">
        <v>1858</v>
      </c>
      <c r="C558" t="s">
        <v>2075</v>
      </c>
      <c r="D558" t="s">
        <v>1039</v>
      </c>
      <c r="E558" t="s">
        <v>2119</v>
      </c>
      <c r="F558" t="s">
        <v>2316</v>
      </c>
      <c r="G558" t="s">
        <v>1250</v>
      </c>
      <c r="H558" t="s">
        <v>3825</v>
      </c>
      <c r="I558" t="s">
        <v>3845</v>
      </c>
      <c r="J558" t="s">
        <v>3266</v>
      </c>
      <c r="K558" t="s">
        <v>3653</v>
      </c>
      <c r="L558" t="s">
        <v>3063</v>
      </c>
      <c r="M558" s="1086">
        <v>7769.94</v>
      </c>
      <c r="N558" s="1086">
        <v>48489.130000000005</v>
      </c>
      <c r="O558" s="1086">
        <v>0</v>
      </c>
      <c r="P558" s="1086">
        <v>0</v>
      </c>
      <c r="Q558" s="1086">
        <v>0</v>
      </c>
      <c r="R558" s="1086">
        <v>0</v>
      </c>
      <c r="S558" s="1086">
        <v>4845.05</v>
      </c>
      <c r="T558" s="1086">
        <v>72.739999999999995</v>
      </c>
      <c r="U558" s="1086">
        <v>22377.93</v>
      </c>
      <c r="V558" s="1086">
        <v>0</v>
      </c>
      <c r="W558" s="1086">
        <v>3361.34</v>
      </c>
      <c r="X558" s="1086">
        <v>5923.93</v>
      </c>
      <c r="Y558" s="1086">
        <v>0</v>
      </c>
      <c r="Z558" s="1086">
        <v>0</v>
      </c>
      <c r="AA558" s="1086">
        <v>0</v>
      </c>
      <c r="AB558" s="1086">
        <v>0</v>
      </c>
      <c r="AC558" s="1086">
        <v>19678.080000000002</v>
      </c>
      <c r="AD558" s="1086" t="s">
        <v>248</v>
      </c>
      <c r="AE558" s="1086" t="s">
        <v>3883</v>
      </c>
      <c r="AF558" s="1086">
        <f t="shared" si="33"/>
        <v>19678.080000000002</v>
      </c>
      <c r="AG558" s="1086">
        <f t="shared" si="32"/>
        <v>0</v>
      </c>
      <c r="AQ558" s="1086">
        <v>0</v>
      </c>
      <c r="AR558" s="1086">
        <v>0</v>
      </c>
      <c r="AS558" s="1086">
        <v>19678.080000000002</v>
      </c>
      <c r="AT558" s="1086">
        <f t="shared" si="34"/>
        <v>0</v>
      </c>
      <c r="AV558" s="1150">
        <f t="shared" si="35"/>
        <v>36580.990000000005</v>
      </c>
    </row>
    <row r="559" spans="1:48" x14ac:dyDescent="0.2">
      <c r="A559" s="19">
        <v>571</v>
      </c>
      <c r="B559" t="s">
        <v>1859</v>
      </c>
      <c r="C559" t="s">
        <v>2075</v>
      </c>
      <c r="D559" t="s">
        <v>1046</v>
      </c>
      <c r="E559" t="s">
        <v>2259</v>
      </c>
      <c r="F559" t="s">
        <v>945</v>
      </c>
      <c r="G559" t="s">
        <v>1250</v>
      </c>
      <c r="H559" t="s">
        <v>3825</v>
      </c>
      <c r="I559" t="s">
        <v>3845</v>
      </c>
      <c r="J559" t="s">
        <v>3398</v>
      </c>
      <c r="K559" t="s">
        <v>3654</v>
      </c>
      <c r="L559" t="s">
        <v>3064</v>
      </c>
      <c r="M559" s="1086">
        <v>176544.92</v>
      </c>
      <c r="N559" s="1086">
        <v>34031.86</v>
      </c>
      <c r="O559" s="1086">
        <v>0</v>
      </c>
      <c r="P559" s="1086">
        <v>0</v>
      </c>
      <c r="Q559" s="1086">
        <v>0</v>
      </c>
      <c r="R559" s="1086">
        <v>0</v>
      </c>
      <c r="S559" s="1086">
        <v>0</v>
      </c>
      <c r="T559" s="1086">
        <v>0</v>
      </c>
      <c r="U559" s="1086">
        <v>31937.07</v>
      </c>
      <c r="V559" s="1086">
        <v>0</v>
      </c>
      <c r="W559" s="1086">
        <v>0</v>
      </c>
      <c r="X559" s="1086">
        <v>0</v>
      </c>
      <c r="Y559" s="1086">
        <v>0</v>
      </c>
      <c r="Z559" s="1086">
        <v>0</v>
      </c>
      <c r="AA559" s="1086">
        <v>0</v>
      </c>
      <c r="AB559" s="1086">
        <v>0</v>
      </c>
      <c r="AC559" s="1086">
        <v>178639.71</v>
      </c>
      <c r="AD559" s="1086" t="s">
        <v>248</v>
      </c>
      <c r="AE559" s="1086" t="s">
        <v>3883</v>
      </c>
      <c r="AF559" s="1086">
        <f t="shared" si="33"/>
        <v>178639.71000000002</v>
      </c>
      <c r="AG559" s="1086">
        <f t="shared" si="32"/>
        <v>0</v>
      </c>
      <c r="AQ559" s="1086">
        <v>0</v>
      </c>
      <c r="AR559" s="1086">
        <v>0</v>
      </c>
      <c r="AS559" s="1086">
        <v>178639.71</v>
      </c>
      <c r="AT559" s="1086">
        <f t="shared" si="34"/>
        <v>0</v>
      </c>
      <c r="AV559" s="1150">
        <f t="shared" si="35"/>
        <v>31937.07</v>
      </c>
    </row>
    <row r="560" spans="1:48" x14ac:dyDescent="0.2">
      <c r="A560" s="19">
        <v>572</v>
      </c>
      <c r="B560" t="s">
        <v>1860</v>
      </c>
      <c r="C560" t="s">
        <v>2075</v>
      </c>
      <c r="D560" t="s">
        <v>1046</v>
      </c>
      <c r="E560" t="s">
        <v>2259</v>
      </c>
      <c r="F560" t="s">
        <v>945</v>
      </c>
      <c r="G560" t="s">
        <v>1250</v>
      </c>
      <c r="H560" t="s">
        <v>3825</v>
      </c>
      <c r="I560" t="s">
        <v>3845</v>
      </c>
      <c r="J560" t="s">
        <v>3398</v>
      </c>
      <c r="K560" t="s">
        <v>3655</v>
      </c>
      <c r="L560" t="s">
        <v>3065</v>
      </c>
      <c r="M560" s="1086">
        <v>104071.48</v>
      </c>
      <c r="N560" s="1086">
        <v>63844.4</v>
      </c>
      <c r="O560" s="1086">
        <v>0</v>
      </c>
      <c r="P560" s="1086">
        <v>0</v>
      </c>
      <c r="Q560" s="1086">
        <v>0</v>
      </c>
      <c r="R560" s="1086">
        <v>0</v>
      </c>
      <c r="S560" s="1086">
        <v>0</v>
      </c>
      <c r="T560" s="1086">
        <v>0</v>
      </c>
      <c r="U560" s="1086">
        <v>59409.49</v>
      </c>
      <c r="V560" s="1086">
        <v>0</v>
      </c>
      <c r="W560" s="1086">
        <v>0</v>
      </c>
      <c r="X560" s="1086">
        <v>0</v>
      </c>
      <c r="Y560" s="1086">
        <v>0</v>
      </c>
      <c r="Z560" s="1086">
        <v>0</v>
      </c>
      <c r="AA560" s="1086">
        <v>0</v>
      </c>
      <c r="AB560" s="1086">
        <v>0</v>
      </c>
      <c r="AC560" s="1086">
        <v>108506.39</v>
      </c>
      <c r="AD560" s="1086" t="s">
        <v>248</v>
      </c>
      <c r="AE560" s="1086" t="s">
        <v>3883</v>
      </c>
      <c r="AF560" s="1086">
        <f t="shared" si="33"/>
        <v>108506.39000000001</v>
      </c>
      <c r="AG560" s="1086">
        <f t="shared" si="32"/>
        <v>0</v>
      </c>
      <c r="AQ560" s="1086">
        <v>0</v>
      </c>
      <c r="AR560" s="1086">
        <v>0</v>
      </c>
      <c r="AS560" s="1086">
        <v>108506.39</v>
      </c>
      <c r="AT560" s="1086">
        <f t="shared" si="34"/>
        <v>0</v>
      </c>
      <c r="AV560" s="1150">
        <f t="shared" si="35"/>
        <v>59409.49</v>
      </c>
    </row>
    <row r="561" spans="1:48" x14ac:dyDescent="0.2">
      <c r="A561" s="19">
        <v>573</v>
      </c>
      <c r="B561" t="s">
        <v>1861</v>
      </c>
      <c r="C561" t="s">
        <v>2075</v>
      </c>
      <c r="D561" t="s">
        <v>1027</v>
      </c>
      <c r="E561" t="s">
        <v>2163</v>
      </c>
      <c r="F561" t="s">
        <v>2360</v>
      </c>
      <c r="G561" t="s">
        <v>1254</v>
      </c>
      <c r="H561" t="s">
        <v>3822</v>
      </c>
      <c r="I561" t="s">
        <v>3845</v>
      </c>
      <c r="J561" t="s">
        <v>3246</v>
      </c>
      <c r="K561" t="s">
        <v>3656</v>
      </c>
      <c r="L561" t="s">
        <v>3066</v>
      </c>
      <c r="M561" s="1086">
        <v>184156.26</v>
      </c>
      <c r="N561" s="1086">
        <v>29131</v>
      </c>
      <c r="O561" s="1086">
        <v>0</v>
      </c>
      <c r="P561" s="1086">
        <v>9797.5</v>
      </c>
      <c r="Q561" s="1086">
        <v>0</v>
      </c>
      <c r="R561" s="1086">
        <v>0</v>
      </c>
      <c r="S561" s="1086">
        <v>0</v>
      </c>
      <c r="T561" s="1086">
        <v>1201.54</v>
      </c>
      <c r="U561" s="1086">
        <v>0</v>
      </c>
      <c r="V561" s="1086">
        <v>0</v>
      </c>
      <c r="W561" s="1086">
        <v>0</v>
      </c>
      <c r="X561" s="1086">
        <v>0</v>
      </c>
      <c r="Y561" s="1086">
        <v>0</v>
      </c>
      <c r="Z561" s="1086">
        <v>0</v>
      </c>
      <c r="AA561" s="1086">
        <v>0</v>
      </c>
      <c r="AB561" s="1086">
        <v>0</v>
      </c>
      <c r="AC561" s="1086">
        <v>202288.22</v>
      </c>
      <c r="AD561" s="1086" t="s">
        <v>248</v>
      </c>
      <c r="AE561" s="1086" t="s">
        <v>3883</v>
      </c>
      <c r="AF561" s="1086">
        <f t="shared" si="33"/>
        <v>202288.22</v>
      </c>
      <c r="AG561" s="1086">
        <f t="shared" si="32"/>
        <v>0</v>
      </c>
      <c r="AQ561" s="1086">
        <v>0</v>
      </c>
      <c r="AR561" s="1086">
        <v>0</v>
      </c>
      <c r="AS561" s="1086">
        <v>202288.22</v>
      </c>
      <c r="AT561" s="1086">
        <f t="shared" si="34"/>
        <v>0</v>
      </c>
      <c r="AV561" s="1150">
        <f t="shared" si="35"/>
        <v>10999.04</v>
      </c>
    </row>
    <row r="562" spans="1:48" x14ac:dyDescent="0.2">
      <c r="A562" s="19">
        <v>574</v>
      </c>
      <c r="B562" t="s">
        <v>1862</v>
      </c>
      <c r="C562" t="s">
        <v>2075</v>
      </c>
      <c r="D562" t="s">
        <v>1036</v>
      </c>
      <c r="E562" t="s">
        <v>2209</v>
      </c>
      <c r="F562" t="s">
        <v>2404</v>
      </c>
      <c r="G562" t="s">
        <v>1250</v>
      </c>
      <c r="H562" t="s">
        <v>3829</v>
      </c>
      <c r="I562" t="s">
        <v>3845</v>
      </c>
      <c r="J562" t="s">
        <v>3263</v>
      </c>
      <c r="K562" t="s">
        <v>3657</v>
      </c>
      <c r="L562" t="s">
        <v>3067</v>
      </c>
      <c r="M562" s="1086">
        <v>370130.24</v>
      </c>
      <c r="N562" s="1086">
        <v>58831.07</v>
      </c>
      <c r="O562" s="1086">
        <v>0</v>
      </c>
      <c r="P562" s="1086">
        <v>0</v>
      </c>
      <c r="Q562" s="1086">
        <v>115312.5</v>
      </c>
      <c r="R562" s="1086">
        <v>0</v>
      </c>
      <c r="S562" s="1086">
        <v>0</v>
      </c>
      <c r="T562" s="1086">
        <v>59312.3</v>
      </c>
      <c r="U562" s="1086">
        <v>0</v>
      </c>
      <c r="V562" s="1086">
        <v>0</v>
      </c>
      <c r="W562" s="1086">
        <v>0</v>
      </c>
      <c r="X562" s="1086">
        <v>0</v>
      </c>
      <c r="Y562" s="1086">
        <v>0</v>
      </c>
      <c r="Z562" s="1086">
        <v>0</v>
      </c>
      <c r="AA562" s="1086">
        <v>0</v>
      </c>
      <c r="AB562" s="1086">
        <v>0</v>
      </c>
      <c r="AC562" s="1086">
        <v>254336.51</v>
      </c>
      <c r="AD562" s="1086" t="s">
        <v>248</v>
      </c>
      <c r="AE562" s="1086" t="s">
        <v>3883</v>
      </c>
      <c r="AF562" s="1086">
        <f t="shared" si="33"/>
        <v>254336.51</v>
      </c>
      <c r="AG562" s="1086">
        <f t="shared" si="32"/>
        <v>0</v>
      </c>
      <c r="AQ562" s="1086">
        <v>0</v>
      </c>
      <c r="AR562" s="1086">
        <v>0</v>
      </c>
      <c r="AS562" s="1086">
        <v>254336.51</v>
      </c>
      <c r="AT562" s="1086">
        <f t="shared" si="34"/>
        <v>0</v>
      </c>
      <c r="AV562" s="1150">
        <f t="shared" si="35"/>
        <v>174624.8</v>
      </c>
    </row>
    <row r="563" spans="1:48" x14ac:dyDescent="0.2">
      <c r="A563" s="19">
        <v>575</v>
      </c>
      <c r="B563" t="s">
        <v>1863</v>
      </c>
      <c r="C563" t="s">
        <v>2075</v>
      </c>
      <c r="D563" t="s">
        <v>1036</v>
      </c>
      <c r="E563" t="s">
        <v>2209</v>
      </c>
      <c r="F563" t="s">
        <v>2404</v>
      </c>
      <c r="G563" t="s">
        <v>1250</v>
      </c>
      <c r="H563" t="s">
        <v>3825</v>
      </c>
      <c r="I563" t="s">
        <v>3845</v>
      </c>
      <c r="J563" t="s">
        <v>3263</v>
      </c>
      <c r="K563" t="s">
        <v>3658</v>
      </c>
      <c r="L563" t="s">
        <v>3068</v>
      </c>
      <c r="M563" s="1086">
        <v>336870.46</v>
      </c>
      <c r="N563" s="1086">
        <v>50000</v>
      </c>
      <c r="O563" s="1086">
        <v>0</v>
      </c>
      <c r="P563" s="1086">
        <v>0</v>
      </c>
      <c r="Q563" s="1086">
        <v>0</v>
      </c>
      <c r="R563" s="1086">
        <v>0</v>
      </c>
      <c r="S563" s="1086">
        <v>0</v>
      </c>
      <c r="T563" s="1086">
        <v>0</v>
      </c>
      <c r="U563" s="1086">
        <v>0</v>
      </c>
      <c r="V563" s="1086">
        <v>0</v>
      </c>
      <c r="W563" s="1086">
        <v>0</v>
      </c>
      <c r="X563" s="1086">
        <v>0</v>
      </c>
      <c r="Y563" s="1086">
        <v>0</v>
      </c>
      <c r="Z563" s="1086">
        <v>0</v>
      </c>
      <c r="AA563" s="1086">
        <v>0</v>
      </c>
      <c r="AB563" s="1086">
        <v>0</v>
      </c>
      <c r="AC563" s="1086">
        <v>386870.46</v>
      </c>
      <c r="AD563" s="1086" t="s">
        <v>248</v>
      </c>
      <c r="AE563" s="1086" t="s">
        <v>3883</v>
      </c>
      <c r="AF563" s="1086">
        <f t="shared" si="33"/>
        <v>386870.46</v>
      </c>
      <c r="AG563" s="1086">
        <f t="shared" si="32"/>
        <v>0</v>
      </c>
      <c r="AQ563" s="1086">
        <v>0</v>
      </c>
      <c r="AR563" s="1086">
        <v>0</v>
      </c>
      <c r="AS563" s="1086">
        <v>386870.46</v>
      </c>
      <c r="AT563" s="1086">
        <f t="shared" si="34"/>
        <v>0</v>
      </c>
      <c r="AV563" s="1150">
        <f t="shared" si="35"/>
        <v>0</v>
      </c>
    </row>
    <row r="564" spans="1:48" x14ac:dyDescent="0.2">
      <c r="A564" s="19">
        <v>576</v>
      </c>
      <c r="B564" t="s">
        <v>1864</v>
      </c>
      <c r="C564" t="s">
        <v>2075</v>
      </c>
      <c r="D564" t="s">
        <v>1062</v>
      </c>
      <c r="E564" t="s">
        <v>2260</v>
      </c>
      <c r="F564" t="s">
        <v>2453</v>
      </c>
      <c r="G564" t="s">
        <v>1249</v>
      </c>
      <c r="H564" t="s">
        <v>3824</v>
      </c>
      <c r="I564" t="s">
        <v>3845</v>
      </c>
      <c r="J564" t="s">
        <v>3523</v>
      </c>
      <c r="K564" t="s">
        <v>3659</v>
      </c>
      <c r="L564" t="s">
        <v>3069</v>
      </c>
      <c r="M564" s="1086">
        <v>67513.789999999994</v>
      </c>
      <c r="N564" s="1086">
        <v>137511.70000000001</v>
      </c>
      <c r="O564" s="1086">
        <v>0</v>
      </c>
      <c r="P564" s="1086">
        <v>0</v>
      </c>
      <c r="Q564" s="1086">
        <v>0</v>
      </c>
      <c r="R564" s="1086">
        <v>0</v>
      </c>
      <c r="S564" s="1086">
        <v>0</v>
      </c>
      <c r="T564" s="1086">
        <v>0</v>
      </c>
      <c r="U564" s="1086">
        <v>163382.42000000001</v>
      </c>
      <c r="V564" s="1086">
        <v>0</v>
      </c>
      <c r="W564" s="1086">
        <v>30789.13</v>
      </c>
      <c r="X564" s="1086">
        <v>0</v>
      </c>
      <c r="Y564" s="1086">
        <v>0</v>
      </c>
      <c r="Z564" s="1086">
        <v>0</v>
      </c>
      <c r="AA564" s="1086">
        <v>0</v>
      </c>
      <c r="AB564" s="1086">
        <v>0</v>
      </c>
      <c r="AC564" s="1086">
        <v>10853.94</v>
      </c>
      <c r="AD564" s="1086" t="s">
        <v>248</v>
      </c>
      <c r="AE564" s="1086" t="s">
        <v>3883</v>
      </c>
      <c r="AF564" s="1086">
        <f t="shared" si="33"/>
        <v>10853.939999999973</v>
      </c>
      <c r="AG564" s="1086">
        <f t="shared" si="32"/>
        <v>2.7284841053187847E-11</v>
      </c>
      <c r="AQ564" s="1086">
        <v>0</v>
      </c>
      <c r="AR564" s="1086">
        <v>0</v>
      </c>
      <c r="AS564" s="1086">
        <v>10853.94</v>
      </c>
      <c r="AT564" s="1086">
        <f t="shared" si="34"/>
        <v>0</v>
      </c>
      <c r="AV564" s="1150">
        <f t="shared" si="35"/>
        <v>194171.55000000002</v>
      </c>
    </row>
    <row r="565" spans="1:48" x14ac:dyDescent="0.2">
      <c r="A565" s="19">
        <v>577</v>
      </c>
      <c r="B565" t="s">
        <v>1865</v>
      </c>
      <c r="C565" t="s">
        <v>2076</v>
      </c>
      <c r="D565" t="s">
        <v>1062</v>
      </c>
      <c r="E565" t="s">
        <v>2261</v>
      </c>
      <c r="F565" t="s">
        <v>2454</v>
      </c>
      <c r="G565" t="s">
        <v>1249</v>
      </c>
      <c r="H565" t="s">
        <v>3823</v>
      </c>
      <c r="I565" t="s">
        <v>3846</v>
      </c>
      <c r="J565" t="s">
        <v>3523</v>
      </c>
      <c r="K565" t="s">
        <v>3660</v>
      </c>
      <c r="L565" t="s">
        <v>3070</v>
      </c>
      <c r="M565" s="1086">
        <v>478515.7</v>
      </c>
      <c r="N565" s="1086">
        <v>259800</v>
      </c>
      <c r="O565" s="1086">
        <v>0</v>
      </c>
      <c r="P565" s="1086">
        <v>27500</v>
      </c>
      <c r="Q565" s="1086">
        <v>0</v>
      </c>
      <c r="R565" s="1086">
        <v>0</v>
      </c>
      <c r="S565" s="1086">
        <v>39.6</v>
      </c>
      <c r="T565" s="1086">
        <v>4962.96</v>
      </c>
      <c r="U565" s="1086">
        <v>493593.89</v>
      </c>
      <c r="V565" s="1086">
        <v>0</v>
      </c>
      <c r="W565" s="1086">
        <v>4885.25</v>
      </c>
      <c r="X565" s="1086">
        <v>6623.54</v>
      </c>
      <c r="Y565" s="1086">
        <v>0</v>
      </c>
      <c r="Z565" s="1086">
        <v>0</v>
      </c>
      <c r="AA565" s="1086">
        <v>0</v>
      </c>
      <c r="AB565" s="1086">
        <v>0</v>
      </c>
      <c r="AC565" s="1086">
        <v>200710.46</v>
      </c>
      <c r="AD565" s="1086" t="s">
        <v>248</v>
      </c>
      <c r="AE565" s="1086" t="s">
        <v>3883</v>
      </c>
      <c r="AF565" s="1086">
        <f t="shared" si="33"/>
        <v>200710.45999999996</v>
      </c>
      <c r="AG565" s="1086">
        <f t="shared" si="32"/>
        <v>0</v>
      </c>
      <c r="AQ565" s="1086">
        <v>0</v>
      </c>
      <c r="AR565" s="1086">
        <v>0</v>
      </c>
      <c r="AS565" s="1086">
        <v>200710.46</v>
      </c>
      <c r="AT565" s="1086">
        <f t="shared" si="34"/>
        <v>0</v>
      </c>
      <c r="AV565" s="1150">
        <f t="shared" si="35"/>
        <v>537605.24</v>
      </c>
    </row>
    <row r="566" spans="1:48" x14ac:dyDescent="0.2">
      <c r="A566" s="19">
        <v>578</v>
      </c>
      <c r="B566" t="s">
        <v>1866</v>
      </c>
      <c r="C566" t="s">
        <v>2076</v>
      </c>
      <c r="D566" t="s">
        <v>1062</v>
      </c>
      <c r="E566" t="s">
        <v>2261</v>
      </c>
      <c r="F566" t="s">
        <v>2454</v>
      </c>
      <c r="G566" t="s">
        <v>1249</v>
      </c>
      <c r="H566" t="s">
        <v>3823</v>
      </c>
      <c r="I566" t="s">
        <v>3846</v>
      </c>
      <c r="J566" t="s">
        <v>3523</v>
      </c>
      <c r="K566" t="s">
        <v>3661</v>
      </c>
      <c r="L566" t="s">
        <v>3071</v>
      </c>
      <c r="M566" s="1086">
        <v>205864.88</v>
      </c>
      <c r="N566" s="1086">
        <v>452869.03</v>
      </c>
      <c r="O566" s="1086">
        <v>0</v>
      </c>
      <c r="P566" s="1086">
        <v>384547.93</v>
      </c>
      <c r="Q566" s="1086">
        <v>50625</v>
      </c>
      <c r="R566" s="1086">
        <v>0</v>
      </c>
      <c r="S566" s="1086">
        <v>19387.5</v>
      </c>
      <c r="T566" s="1086">
        <v>106691.31</v>
      </c>
      <c r="U566" s="1086">
        <v>38905.75</v>
      </c>
      <c r="V566" s="1086">
        <v>0</v>
      </c>
      <c r="W566" s="1086">
        <v>1719.31</v>
      </c>
      <c r="X566" s="1086">
        <v>6230.71</v>
      </c>
      <c r="Y566" s="1086">
        <v>0</v>
      </c>
      <c r="Z566" s="1086">
        <v>0</v>
      </c>
      <c r="AA566" s="1086">
        <v>0</v>
      </c>
      <c r="AB566" s="1086">
        <v>0</v>
      </c>
      <c r="AC566" s="1086">
        <v>50626.400000000001</v>
      </c>
      <c r="AD566" s="1086" t="s">
        <v>248</v>
      </c>
      <c r="AE566" s="1086" t="s">
        <v>3883</v>
      </c>
      <c r="AF566" s="1086">
        <f t="shared" si="33"/>
        <v>50626.400000000023</v>
      </c>
      <c r="AG566" s="1086">
        <f t="shared" si="32"/>
        <v>0</v>
      </c>
      <c r="AQ566" s="1086">
        <v>0</v>
      </c>
      <c r="AR566" s="1086">
        <v>0</v>
      </c>
      <c r="AS566" s="1086">
        <v>50626.400000000001</v>
      </c>
      <c r="AT566" s="1086">
        <f t="shared" si="34"/>
        <v>0</v>
      </c>
      <c r="AV566" s="1150">
        <f t="shared" si="35"/>
        <v>608107.51</v>
      </c>
    </row>
    <row r="567" spans="1:48" x14ac:dyDescent="0.2">
      <c r="A567" s="19">
        <v>579</v>
      </c>
      <c r="B567" t="s">
        <v>1867</v>
      </c>
      <c r="C567" t="s">
        <v>2076</v>
      </c>
      <c r="D567" t="s">
        <v>1049</v>
      </c>
      <c r="E567" t="s">
        <v>2262</v>
      </c>
      <c r="F567" t="s">
        <v>2455</v>
      </c>
      <c r="G567" t="s">
        <v>1250</v>
      </c>
      <c r="H567" t="s">
        <v>3822</v>
      </c>
      <c r="I567" t="s">
        <v>3846</v>
      </c>
      <c r="J567" t="s">
        <v>3270</v>
      </c>
      <c r="K567" t="s">
        <v>3662</v>
      </c>
      <c r="L567" t="s">
        <v>3072</v>
      </c>
      <c r="M567" s="1086">
        <v>15096.56</v>
      </c>
      <c r="N567" s="1086">
        <v>28000</v>
      </c>
      <c r="O567" s="1086">
        <v>0</v>
      </c>
      <c r="P567" s="1086">
        <v>20997.11</v>
      </c>
      <c r="Q567" s="1086">
        <v>0</v>
      </c>
      <c r="R567" s="1086">
        <v>0</v>
      </c>
      <c r="S567" s="1086">
        <v>0</v>
      </c>
      <c r="T567" s="1086">
        <v>5242.03</v>
      </c>
      <c r="U567" s="1086">
        <v>3494.59</v>
      </c>
      <c r="V567" s="1086">
        <v>0</v>
      </c>
      <c r="W567" s="1086">
        <v>7957.96</v>
      </c>
      <c r="X567" s="1086">
        <v>1805.81</v>
      </c>
      <c r="Y567" s="1086">
        <v>0</v>
      </c>
      <c r="Z567" s="1086">
        <v>0</v>
      </c>
      <c r="AA567" s="1086">
        <v>0</v>
      </c>
      <c r="AB567" s="1086">
        <v>0</v>
      </c>
      <c r="AC567" s="1086">
        <v>3599.06</v>
      </c>
      <c r="AD567" s="1086" t="s">
        <v>248</v>
      </c>
      <c r="AE567" s="1086" t="s">
        <v>3883</v>
      </c>
      <c r="AF567" s="1086">
        <f t="shared" si="33"/>
        <v>3599.0599999999977</v>
      </c>
      <c r="AG567" s="1086">
        <f t="shared" ref="AG567:AG630" si="36">AC567-AF567</f>
        <v>0</v>
      </c>
      <c r="AQ567" s="1086">
        <v>0</v>
      </c>
      <c r="AR567" s="1086">
        <v>0</v>
      </c>
      <c r="AS567" s="1086">
        <v>3599.06</v>
      </c>
      <c r="AT567" s="1086">
        <f t="shared" si="34"/>
        <v>0</v>
      </c>
      <c r="AV567" s="1150">
        <f t="shared" si="35"/>
        <v>39497.5</v>
      </c>
    </row>
    <row r="568" spans="1:48" x14ac:dyDescent="0.2">
      <c r="A568" s="19">
        <v>580</v>
      </c>
      <c r="B568" t="s">
        <v>1868</v>
      </c>
      <c r="C568" t="s">
        <v>2076</v>
      </c>
      <c r="D568" t="s">
        <v>1049</v>
      </c>
      <c r="E568" t="s">
        <v>2262</v>
      </c>
      <c r="F568" t="s">
        <v>2455</v>
      </c>
      <c r="G568" t="s">
        <v>1250</v>
      </c>
      <c r="H568" t="s">
        <v>3825</v>
      </c>
      <c r="I568" t="s">
        <v>3846</v>
      </c>
      <c r="J568" t="s">
        <v>3270</v>
      </c>
      <c r="K568" t="s">
        <v>3663</v>
      </c>
      <c r="L568" t="s">
        <v>3073</v>
      </c>
      <c r="M568" s="1086">
        <v>105712.5</v>
      </c>
      <c r="N568" s="1086">
        <v>140000</v>
      </c>
      <c r="O568" s="1086">
        <v>0</v>
      </c>
      <c r="P568" s="1086">
        <v>57066.67</v>
      </c>
      <c r="Q568" s="1086">
        <v>0</v>
      </c>
      <c r="R568" s="1086">
        <v>4749.05</v>
      </c>
      <c r="S568" s="1086">
        <v>2647.5</v>
      </c>
      <c r="T568" s="1086">
        <v>17392.54</v>
      </c>
      <c r="U568" s="1086">
        <v>20069.73</v>
      </c>
      <c r="V568" s="1086">
        <v>0</v>
      </c>
      <c r="W568" s="1086">
        <v>4283.57</v>
      </c>
      <c r="X568" s="1086">
        <v>5051</v>
      </c>
      <c r="Y568" s="1086">
        <v>0</v>
      </c>
      <c r="Z568" s="1086">
        <v>0</v>
      </c>
      <c r="AA568" s="1086">
        <v>0</v>
      </c>
      <c r="AB568" s="1086">
        <v>0</v>
      </c>
      <c r="AC568" s="1086">
        <v>134452.44</v>
      </c>
      <c r="AD568" s="1086" t="s">
        <v>248</v>
      </c>
      <c r="AE568" s="1086" t="s">
        <v>3883</v>
      </c>
      <c r="AF568" s="1086">
        <f t="shared" si="33"/>
        <v>134452.44</v>
      </c>
      <c r="AG568" s="1086">
        <f t="shared" si="36"/>
        <v>0</v>
      </c>
      <c r="AQ568" s="1086">
        <v>0</v>
      </c>
      <c r="AR568" s="1086">
        <v>0</v>
      </c>
      <c r="AS568" s="1086">
        <v>134452.44</v>
      </c>
      <c r="AT568" s="1086">
        <f t="shared" si="34"/>
        <v>0</v>
      </c>
      <c r="AV568" s="1150">
        <f t="shared" si="35"/>
        <v>111260.06</v>
      </c>
    </row>
    <row r="569" spans="1:48" x14ac:dyDescent="0.2">
      <c r="A569" s="19">
        <v>581</v>
      </c>
      <c r="B569" t="s">
        <v>1869</v>
      </c>
      <c r="C569" t="s">
        <v>2076</v>
      </c>
      <c r="D569" t="s">
        <v>1027</v>
      </c>
      <c r="E569" t="s">
        <v>2081</v>
      </c>
      <c r="F569" t="s">
        <v>2287</v>
      </c>
      <c r="G569" t="s">
        <v>1254</v>
      </c>
      <c r="H569" t="s">
        <v>3825</v>
      </c>
      <c r="I569">
        <v>0</v>
      </c>
      <c r="L569" t="s">
        <v>3074</v>
      </c>
      <c r="M569" s="1086">
        <v>79426.5</v>
      </c>
      <c r="N569" s="1086">
        <v>0</v>
      </c>
      <c r="O569" s="1086">
        <v>0</v>
      </c>
      <c r="P569" s="1086">
        <v>0</v>
      </c>
      <c r="Q569" s="1086">
        <v>0</v>
      </c>
      <c r="R569" s="1086">
        <v>0</v>
      </c>
      <c r="S569" s="1086">
        <v>0</v>
      </c>
      <c r="T569" s="1086">
        <v>0</v>
      </c>
      <c r="U569" s="1086">
        <v>0</v>
      </c>
      <c r="V569" s="1086">
        <v>0</v>
      </c>
      <c r="W569" s="1086">
        <v>0</v>
      </c>
      <c r="X569" s="1086">
        <v>0</v>
      </c>
      <c r="Y569" s="1086">
        <v>0</v>
      </c>
      <c r="Z569" s="1086">
        <v>0</v>
      </c>
      <c r="AA569" s="1086">
        <v>79426.5</v>
      </c>
      <c r="AB569" s="1086">
        <v>0</v>
      </c>
      <c r="AC569" s="1086">
        <v>0</v>
      </c>
      <c r="AD569" s="1086" t="s">
        <v>248</v>
      </c>
      <c r="AE569" s="1086" t="s">
        <v>3883</v>
      </c>
      <c r="AF569" s="1086">
        <f t="shared" si="33"/>
        <v>0</v>
      </c>
      <c r="AG569" s="1086">
        <f t="shared" si="36"/>
        <v>0</v>
      </c>
      <c r="AQ569" s="1086">
        <v>0</v>
      </c>
      <c r="AR569" s="1086">
        <v>0</v>
      </c>
      <c r="AS569" s="1086">
        <v>0</v>
      </c>
      <c r="AT569" s="1086">
        <f t="shared" si="34"/>
        <v>0</v>
      </c>
      <c r="AV569" s="1150">
        <f t="shared" si="35"/>
        <v>79426.5</v>
      </c>
    </row>
    <row r="570" spans="1:48" x14ac:dyDescent="0.2">
      <c r="A570" s="19">
        <v>582</v>
      </c>
      <c r="B570" t="s">
        <v>1870</v>
      </c>
      <c r="C570" t="s">
        <v>2076</v>
      </c>
      <c r="D570" t="s">
        <v>1027</v>
      </c>
      <c r="E570" t="s">
        <v>2081</v>
      </c>
      <c r="F570" t="s">
        <v>2287</v>
      </c>
      <c r="G570" t="s">
        <v>1254</v>
      </c>
      <c r="H570" t="s">
        <v>3824</v>
      </c>
      <c r="I570">
        <v>2305</v>
      </c>
      <c r="J570" t="s">
        <v>3246</v>
      </c>
      <c r="K570" t="s">
        <v>3664</v>
      </c>
      <c r="L570" t="s">
        <v>3075</v>
      </c>
      <c r="M570" s="1086">
        <v>116857.12</v>
      </c>
      <c r="N570" s="1086">
        <v>49490</v>
      </c>
      <c r="O570" s="1086">
        <v>0</v>
      </c>
      <c r="P570" s="1086">
        <v>58155</v>
      </c>
      <c r="Q570" s="1086">
        <v>0</v>
      </c>
      <c r="R570" s="1086">
        <v>0</v>
      </c>
      <c r="S570" s="1086">
        <v>8386</v>
      </c>
      <c r="T570" s="1086">
        <v>17421.88</v>
      </c>
      <c r="U570" s="1086">
        <v>5361.46</v>
      </c>
      <c r="V570" s="1086">
        <v>0</v>
      </c>
      <c r="W570" s="1086">
        <v>8879.36</v>
      </c>
      <c r="X570" s="1086">
        <v>302.3</v>
      </c>
      <c r="Y570" s="1086">
        <v>0</v>
      </c>
      <c r="Z570" s="1086">
        <v>0</v>
      </c>
      <c r="AA570" s="1086">
        <v>0</v>
      </c>
      <c r="AB570" s="1086">
        <v>0</v>
      </c>
      <c r="AC570" s="1086">
        <v>67841.119999999995</v>
      </c>
      <c r="AD570" s="1086" t="s">
        <v>248</v>
      </c>
      <c r="AE570" s="1086" t="s">
        <v>3883</v>
      </c>
      <c r="AF570" s="1086">
        <f t="shared" si="33"/>
        <v>67841.119999999981</v>
      </c>
      <c r="AG570" s="1086">
        <f t="shared" si="36"/>
        <v>0</v>
      </c>
      <c r="AQ570" s="1086">
        <v>0</v>
      </c>
      <c r="AR570" s="1086">
        <v>0</v>
      </c>
      <c r="AS570" s="1086">
        <v>67841.119999999995</v>
      </c>
      <c r="AT570" s="1086">
        <f t="shared" si="34"/>
        <v>0</v>
      </c>
      <c r="AV570" s="1150">
        <f t="shared" si="35"/>
        <v>98506.000000000015</v>
      </c>
    </row>
    <row r="571" spans="1:48" x14ac:dyDescent="0.2">
      <c r="A571" s="19">
        <v>583</v>
      </c>
      <c r="B571" t="s">
        <v>1871</v>
      </c>
      <c r="C571" t="s">
        <v>2076</v>
      </c>
      <c r="D571" t="s">
        <v>1027</v>
      </c>
      <c r="E571" t="s">
        <v>2081</v>
      </c>
      <c r="F571" t="s">
        <v>2287</v>
      </c>
      <c r="G571" t="s">
        <v>1254</v>
      </c>
      <c r="H571" t="s">
        <v>3825</v>
      </c>
      <c r="I571" t="s">
        <v>3846</v>
      </c>
      <c r="J571" t="s">
        <v>3246</v>
      </c>
      <c r="K571" t="s">
        <v>3665</v>
      </c>
      <c r="L571" t="s">
        <v>3076</v>
      </c>
      <c r="M571" s="1086">
        <v>20377.599999999999</v>
      </c>
      <c r="N571" s="1086">
        <v>19600</v>
      </c>
      <c r="O571" s="1086">
        <v>0</v>
      </c>
      <c r="P571" s="1086">
        <v>0</v>
      </c>
      <c r="Q571" s="1086">
        <v>0</v>
      </c>
      <c r="R571" s="1086">
        <v>0</v>
      </c>
      <c r="S571" s="1086">
        <v>13717.5</v>
      </c>
      <c r="T571" s="1086">
        <v>233.07</v>
      </c>
      <c r="U571" s="1086">
        <v>0</v>
      </c>
      <c r="V571" s="1086">
        <v>0</v>
      </c>
      <c r="W571" s="1086">
        <v>0</v>
      </c>
      <c r="X571" s="1086">
        <v>0</v>
      </c>
      <c r="Y571" s="1086">
        <v>0</v>
      </c>
      <c r="Z571" s="1086">
        <v>0</v>
      </c>
      <c r="AA571" s="1086">
        <v>0</v>
      </c>
      <c r="AB571" s="1086">
        <v>0</v>
      </c>
      <c r="AC571" s="1086">
        <v>26027.03</v>
      </c>
      <c r="AD571" s="1086" t="s">
        <v>248</v>
      </c>
      <c r="AE571" s="1086" t="s">
        <v>3883</v>
      </c>
      <c r="AF571" s="1086">
        <f t="shared" si="33"/>
        <v>26027.03</v>
      </c>
      <c r="AG571" s="1086">
        <f t="shared" si="36"/>
        <v>0</v>
      </c>
      <c r="AQ571" s="1086">
        <v>0</v>
      </c>
      <c r="AR571" s="1086">
        <v>0</v>
      </c>
      <c r="AS571" s="1086">
        <v>26027.03</v>
      </c>
      <c r="AT571" s="1086">
        <f t="shared" si="34"/>
        <v>0</v>
      </c>
      <c r="AV571" s="1150">
        <f t="shared" si="35"/>
        <v>13950.57</v>
      </c>
    </row>
    <row r="572" spans="1:48" x14ac:dyDescent="0.2">
      <c r="A572" s="19">
        <v>584</v>
      </c>
      <c r="B572" t="s">
        <v>1872</v>
      </c>
      <c r="C572" t="s">
        <v>2076</v>
      </c>
      <c r="D572" t="s">
        <v>1027</v>
      </c>
      <c r="E572" t="s">
        <v>2081</v>
      </c>
      <c r="F572" t="s">
        <v>2287</v>
      </c>
      <c r="G572" t="s">
        <v>1254</v>
      </c>
      <c r="H572" t="s">
        <v>3824</v>
      </c>
      <c r="I572" t="s">
        <v>3251</v>
      </c>
      <c r="J572" t="s">
        <v>3251</v>
      </c>
      <c r="K572" t="s">
        <v>3251</v>
      </c>
      <c r="L572" t="s">
        <v>3077</v>
      </c>
      <c r="M572" s="1086">
        <v>0</v>
      </c>
      <c r="N572" s="1086">
        <v>219720.9</v>
      </c>
      <c r="O572" s="1086">
        <v>79426.5</v>
      </c>
      <c r="P572" s="1086">
        <v>0</v>
      </c>
      <c r="Q572" s="1086">
        <v>0</v>
      </c>
      <c r="R572" s="1086">
        <v>0</v>
      </c>
      <c r="S572" s="1086">
        <v>0</v>
      </c>
      <c r="T572" s="1086">
        <v>0</v>
      </c>
      <c r="U572" s="1086">
        <v>299135.40000000002</v>
      </c>
      <c r="V572" s="1086">
        <v>0</v>
      </c>
      <c r="W572" s="1086">
        <v>0</v>
      </c>
      <c r="X572" s="1086">
        <v>0</v>
      </c>
      <c r="Y572" s="1086">
        <v>0</v>
      </c>
      <c r="Z572" s="1086">
        <v>0</v>
      </c>
      <c r="AA572" s="1086">
        <v>0</v>
      </c>
      <c r="AB572" s="1086">
        <v>0</v>
      </c>
      <c r="AC572" s="1086">
        <v>0</v>
      </c>
      <c r="AD572" s="1086" t="s">
        <v>248</v>
      </c>
      <c r="AE572" s="1086" t="s">
        <v>3883</v>
      </c>
      <c r="AF572" s="1086">
        <f t="shared" si="33"/>
        <v>0</v>
      </c>
      <c r="AG572" s="1086">
        <f t="shared" si="36"/>
        <v>0</v>
      </c>
      <c r="AQ572" s="1086">
        <v>12</v>
      </c>
      <c r="AR572" s="1086">
        <v>0</v>
      </c>
      <c r="AS572" s="1086">
        <v>0</v>
      </c>
      <c r="AT572" s="1086">
        <f t="shared" si="34"/>
        <v>0</v>
      </c>
      <c r="AV572" s="1150">
        <f t="shared" si="35"/>
        <v>299147.40000000002</v>
      </c>
    </row>
    <row r="573" spans="1:48" x14ac:dyDescent="0.2">
      <c r="A573" s="19">
        <v>585</v>
      </c>
      <c r="B573" t="s">
        <v>1873</v>
      </c>
      <c r="C573" t="s">
        <v>2076</v>
      </c>
      <c r="D573" t="s">
        <v>1043</v>
      </c>
      <c r="E573" t="s">
        <v>2083</v>
      </c>
      <c r="F573" t="s">
        <v>2289</v>
      </c>
      <c r="G573" t="s">
        <v>1250</v>
      </c>
      <c r="H573" t="s">
        <v>3825</v>
      </c>
      <c r="I573" t="s">
        <v>3846</v>
      </c>
      <c r="J573" t="s">
        <v>3252</v>
      </c>
      <c r="K573" t="s">
        <v>3666</v>
      </c>
      <c r="L573" t="s">
        <v>3078</v>
      </c>
      <c r="M573" s="1086">
        <v>5723.03</v>
      </c>
      <c r="N573" s="1086">
        <v>0</v>
      </c>
      <c r="O573" s="1086">
        <v>0</v>
      </c>
      <c r="P573" s="1086">
        <v>0</v>
      </c>
      <c r="Q573" s="1086">
        <v>0</v>
      </c>
      <c r="R573" s="1086">
        <v>0</v>
      </c>
      <c r="S573" s="1086">
        <v>0</v>
      </c>
      <c r="T573" s="1086">
        <v>0</v>
      </c>
      <c r="U573" s="1086">
        <v>0</v>
      </c>
      <c r="V573" s="1086">
        <v>0</v>
      </c>
      <c r="W573" s="1086">
        <v>0</v>
      </c>
      <c r="X573" s="1086">
        <v>0</v>
      </c>
      <c r="Y573" s="1086">
        <v>0</v>
      </c>
      <c r="Z573" s="1086">
        <v>0</v>
      </c>
      <c r="AA573" s="1086">
        <v>0</v>
      </c>
      <c r="AB573" s="1086">
        <v>0</v>
      </c>
      <c r="AC573" s="1086">
        <v>5723.03</v>
      </c>
      <c r="AD573" s="1086" t="s">
        <v>248</v>
      </c>
      <c r="AE573" s="1086" t="s">
        <v>3883</v>
      </c>
      <c r="AF573" s="1086">
        <f t="shared" si="33"/>
        <v>5723.03</v>
      </c>
      <c r="AG573" s="1086">
        <f t="shared" si="36"/>
        <v>0</v>
      </c>
      <c r="AQ573" s="1086">
        <v>0</v>
      </c>
      <c r="AR573" s="1086">
        <v>0</v>
      </c>
      <c r="AS573" s="1086">
        <v>5723.03</v>
      </c>
      <c r="AT573" s="1086">
        <f t="shared" si="34"/>
        <v>0</v>
      </c>
      <c r="AV573" s="1150">
        <f t="shared" si="35"/>
        <v>0</v>
      </c>
    </row>
    <row r="574" spans="1:48" x14ac:dyDescent="0.2">
      <c r="A574" s="19">
        <v>586</v>
      </c>
      <c r="B574" t="s">
        <v>1874</v>
      </c>
      <c r="C574" t="s">
        <v>2076</v>
      </c>
      <c r="D574" t="s">
        <v>1042</v>
      </c>
      <c r="E574" t="s">
        <v>2228</v>
      </c>
      <c r="F574" t="s">
        <v>2422</v>
      </c>
      <c r="G574" t="s">
        <v>1257</v>
      </c>
      <c r="H574" t="s">
        <v>3826</v>
      </c>
      <c r="I574">
        <v>0</v>
      </c>
      <c r="L574" t="s">
        <v>3079</v>
      </c>
      <c r="M574" s="1086">
        <v>62607.3</v>
      </c>
      <c r="N574" s="1086">
        <v>0</v>
      </c>
      <c r="O574" s="1086">
        <v>0</v>
      </c>
      <c r="P574" s="1086">
        <v>14000</v>
      </c>
      <c r="Q574" s="1086">
        <v>0</v>
      </c>
      <c r="R574" s="1086">
        <v>0</v>
      </c>
      <c r="S574" s="1086">
        <v>0</v>
      </c>
      <c r="T574" s="1086">
        <v>376.21</v>
      </c>
      <c r="U574" s="1086">
        <v>0</v>
      </c>
      <c r="V574" s="1086">
        <v>480</v>
      </c>
      <c r="W574" s="1086">
        <v>0</v>
      </c>
      <c r="X574" s="1086">
        <v>0</v>
      </c>
      <c r="Y574" s="1086">
        <v>0</v>
      </c>
      <c r="Z574" s="1086">
        <v>0</v>
      </c>
      <c r="AA574" s="1086">
        <v>0</v>
      </c>
      <c r="AB574" s="1086">
        <v>0</v>
      </c>
      <c r="AC574" s="1086">
        <v>47751.09</v>
      </c>
      <c r="AD574" s="1086" t="s">
        <v>248</v>
      </c>
      <c r="AE574" s="1086" t="s">
        <v>3883</v>
      </c>
      <c r="AF574" s="1086">
        <f t="shared" si="33"/>
        <v>47751.090000000004</v>
      </c>
      <c r="AG574" s="1086">
        <f t="shared" si="36"/>
        <v>0</v>
      </c>
      <c r="AQ574" s="1086">
        <v>0</v>
      </c>
      <c r="AR574" s="1086">
        <v>0</v>
      </c>
      <c r="AS574" s="1086">
        <v>47751.09</v>
      </c>
      <c r="AT574" s="1086">
        <f t="shared" si="34"/>
        <v>0</v>
      </c>
      <c r="AV574" s="1150">
        <f t="shared" si="35"/>
        <v>14856.21</v>
      </c>
    </row>
    <row r="575" spans="1:48" x14ac:dyDescent="0.2">
      <c r="A575" s="19">
        <v>587</v>
      </c>
      <c r="B575" t="s">
        <v>1875</v>
      </c>
      <c r="C575" t="s">
        <v>2076</v>
      </c>
      <c r="D575" t="s">
        <v>1027</v>
      </c>
      <c r="E575" t="s">
        <v>2263</v>
      </c>
      <c r="F575" t="s">
        <v>2456</v>
      </c>
      <c r="G575" t="s">
        <v>1254</v>
      </c>
      <c r="H575" t="s">
        <v>3822</v>
      </c>
      <c r="I575" t="s">
        <v>3846</v>
      </c>
      <c r="J575" t="s">
        <v>3246</v>
      </c>
      <c r="K575" t="s">
        <v>3667</v>
      </c>
      <c r="L575" t="s">
        <v>3080</v>
      </c>
      <c r="M575" s="1086">
        <v>13633.4</v>
      </c>
      <c r="N575" s="1086">
        <v>4900</v>
      </c>
      <c r="O575" s="1086">
        <v>0</v>
      </c>
      <c r="P575" s="1086">
        <v>0</v>
      </c>
      <c r="Q575" s="1086">
        <v>0</v>
      </c>
      <c r="R575" s="1086">
        <v>0</v>
      </c>
      <c r="S575" s="1086">
        <v>0</v>
      </c>
      <c r="T575" s="1086">
        <v>0</v>
      </c>
      <c r="U575" s="1086">
        <v>2313.4499999999998</v>
      </c>
      <c r="V575" s="1086">
        <v>0</v>
      </c>
      <c r="W575" s="1086">
        <v>0</v>
      </c>
      <c r="X575" s="1086">
        <v>0</v>
      </c>
      <c r="Y575" s="1086">
        <v>0</v>
      </c>
      <c r="Z575" s="1086">
        <v>0</v>
      </c>
      <c r="AA575" s="1086">
        <v>0</v>
      </c>
      <c r="AB575" s="1086">
        <v>0</v>
      </c>
      <c r="AC575" s="1086">
        <v>16219.95</v>
      </c>
      <c r="AD575" s="1086" t="s">
        <v>248</v>
      </c>
      <c r="AE575" s="1086" t="s">
        <v>3883</v>
      </c>
      <c r="AF575" s="1086">
        <f t="shared" si="33"/>
        <v>16219.95</v>
      </c>
      <c r="AG575" s="1086">
        <f t="shared" si="36"/>
        <v>0</v>
      </c>
      <c r="AQ575" s="1086">
        <v>0</v>
      </c>
      <c r="AR575" s="1086">
        <v>0</v>
      </c>
      <c r="AS575" s="1086">
        <v>16219.95</v>
      </c>
      <c r="AT575" s="1086">
        <f t="shared" si="34"/>
        <v>0</v>
      </c>
      <c r="AV575" s="1150">
        <f t="shared" si="35"/>
        <v>2313.4499999999998</v>
      </c>
    </row>
    <row r="576" spans="1:48" x14ac:dyDescent="0.2">
      <c r="A576" s="19">
        <v>588</v>
      </c>
      <c r="B576" t="s">
        <v>1876</v>
      </c>
      <c r="C576" t="s">
        <v>2076</v>
      </c>
      <c r="D576" t="s">
        <v>1059</v>
      </c>
      <c r="E576" t="s">
        <v>2086</v>
      </c>
      <c r="F576" t="s">
        <v>2292</v>
      </c>
      <c r="G576" t="s">
        <v>1250</v>
      </c>
      <c r="H576" t="s">
        <v>3825</v>
      </c>
      <c r="I576" t="s">
        <v>3846</v>
      </c>
      <c r="J576" t="s">
        <v>3257</v>
      </c>
      <c r="K576" t="s">
        <v>3668</v>
      </c>
      <c r="L576" t="s">
        <v>3081</v>
      </c>
      <c r="M576" s="1086">
        <v>2312.75</v>
      </c>
      <c r="N576" s="1086">
        <v>12449.52</v>
      </c>
      <c r="O576" s="1086">
        <v>0</v>
      </c>
      <c r="P576" s="1086">
        <v>0</v>
      </c>
      <c r="Q576" s="1086">
        <v>0</v>
      </c>
      <c r="R576" s="1086">
        <v>0</v>
      </c>
      <c r="S576" s="1086">
        <v>0</v>
      </c>
      <c r="T576" s="1086">
        <v>0</v>
      </c>
      <c r="U576" s="1086">
        <v>2130</v>
      </c>
      <c r="V576" s="1086">
        <v>0</v>
      </c>
      <c r="W576" s="1086">
        <v>0</v>
      </c>
      <c r="X576" s="1086">
        <v>1489.7</v>
      </c>
      <c r="Y576" s="1086">
        <v>0</v>
      </c>
      <c r="Z576" s="1086">
        <v>0</v>
      </c>
      <c r="AA576" s="1086">
        <v>0</v>
      </c>
      <c r="AB576" s="1086">
        <v>0</v>
      </c>
      <c r="AC576" s="1086">
        <v>11142.57</v>
      </c>
      <c r="AD576" s="1086" t="s">
        <v>248</v>
      </c>
      <c r="AE576" s="1086" t="s">
        <v>3883</v>
      </c>
      <c r="AF576" s="1086">
        <f t="shared" si="33"/>
        <v>11142.57</v>
      </c>
      <c r="AG576" s="1086">
        <f t="shared" si="36"/>
        <v>0</v>
      </c>
      <c r="AQ576" s="1086">
        <v>0</v>
      </c>
      <c r="AR576" s="1086">
        <v>0</v>
      </c>
      <c r="AS576" s="1086">
        <v>11142.57</v>
      </c>
      <c r="AT576" s="1086">
        <f t="shared" si="34"/>
        <v>0</v>
      </c>
      <c r="AV576" s="1150">
        <f t="shared" si="35"/>
        <v>3619.7</v>
      </c>
    </row>
    <row r="577" spans="1:48" x14ac:dyDescent="0.2">
      <c r="A577" s="19">
        <v>589</v>
      </c>
      <c r="B577" t="s">
        <v>1877</v>
      </c>
      <c r="C577" t="s">
        <v>2076</v>
      </c>
      <c r="D577" t="s">
        <v>1059</v>
      </c>
      <c r="E577" t="s">
        <v>2086</v>
      </c>
      <c r="F577" t="s">
        <v>2292</v>
      </c>
      <c r="G577" t="s">
        <v>1250</v>
      </c>
      <c r="H577" t="s">
        <v>3824</v>
      </c>
      <c r="I577" t="s">
        <v>3846</v>
      </c>
      <c r="J577" t="s">
        <v>3257</v>
      </c>
      <c r="K577" t="s">
        <v>3669</v>
      </c>
      <c r="L577" t="s">
        <v>3082</v>
      </c>
      <c r="M577" s="1086">
        <v>12.82</v>
      </c>
      <c r="N577" s="1086">
        <v>1470</v>
      </c>
      <c r="O577" s="1086">
        <v>0</v>
      </c>
      <c r="P577" s="1086">
        <v>0</v>
      </c>
      <c r="Q577" s="1086">
        <v>0</v>
      </c>
      <c r="R577" s="1086">
        <v>0</v>
      </c>
      <c r="S577" s="1086">
        <v>0</v>
      </c>
      <c r="T577" s="1086">
        <v>0</v>
      </c>
      <c r="U577" s="1086">
        <v>0</v>
      </c>
      <c r="V577" s="1086">
        <v>0</v>
      </c>
      <c r="W577" s="1086">
        <v>0</v>
      </c>
      <c r="X577" s="1086">
        <v>0</v>
      </c>
      <c r="Y577" s="1086">
        <v>0</v>
      </c>
      <c r="Z577" s="1086">
        <v>0</v>
      </c>
      <c r="AA577" s="1086">
        <v>0</v>
      </c>
      <c r="AB577" s="1086">
        <v>0</v>
      </c>
      <c r="AC577" s="1086">
        <v>1482.82</v>
      </c>
      <c r="AD577" s="1086" t="s">
        <v>248</v>
      </c>
      <c r="AE577" s="1086" t="s">
        <v>3883</v>
      </c>
      <c r="AF577" s="1086">
        <f t="shared" si="33"/>
        <v>1482.82</v>
      </c>
      <c r="AG577" s="1086">
        <f t="shared" si="36"/>
        <v>0</v>
      </c>
      <c r="AQ577" s="1086">
        <v>0</v>
      </c>
      <c r="AR577" s="1086">
        <v>0</v>
      </c>
      <c r="AS577" s="1086">
        <v>1482.82</v>
      </c>
      <c r="AT577" s="1086">
        <f t="shared" si="34"/>
        <v>0</v>
      </c>
      <c r="AV577" s="1150">
        <f t="shared" si="35"/>
        <v>0</v>
      </c>
    </row>
    <row r="578" spans="1:48" x14ac:dyDescent="0.2">
      <c r="A578" s="19">
        <v>590</v>
      </c>
      <c r="B578" t="s">
        <v>1878</v>
      </c>
      <c r="C578" t="s">
        <v>2076</v>
      </c>
      <c r="D578" t="s">
        <v>1039</v>
      </c>
      <c r="E578" t="s">
        <v>2090</v>
      </c>
      <c r="F578" t="s">
        <v>2294</v>
      </c>
      <c r="G578" t="s">
        <v>1250</v>
      </c>
      <c r="H578" t="s">
        <v>3825</v>
      </c>
      <c r="I578" t="s">
        <v>3846</v>
      </c>
      <c r="J578" t="s">
        <v>3266</v>
      </c>
      <c r="K578" t="s">
        <v>3670</v>
      </c>
      <c r="L578" t="s">
        <v>3083</v>
      </c>
      <c r="M578" s="1086">
        <v>116847.54</v>
      </c>
      <c r="N578" s="1086">
        <v>135415.64000000001</v>
      </c>
      <c r="O578" s="1086">
        <v>0</v>
      </c>
      <c r="P578" s="1086">
        <v>55312.51</v>
      </c>
      <c r="Q578" s="1086">
        <v>0</v>
      </c>
      <c r="R578" s="1086">
        <v>0</v>
      </c>
      <c r="S578" s="1086">
        <v>11699.88</v>
      </c>
      <c r="T578" s="1086">
        <v>9730.5400000000009</v>
      </c>
      <c r="U578" s="1086">
        <v>94681.77</v>
      </c>
      <c r="V578" s="1086">
        <v>0</v>
      </c>
      <c r="W578" s="1086">
        <v>5188.13</v>
      </c>
      <c r="X578" s="1086">
        <v>0</v>
      </c>
      <c r="Y578" s="1086">
        <v>0</v>
      </c>
      <c r="Z578" s="1086">
        <v>0</v>
      </c>
      <c r="AA578" s="1086">
        <v>0</v>
      </c>
      <c r="AB578" s="1086">
        <v>0</v>
      </c>
      <c r="AC578" s="1086">
        <v>75650.350000000006</v>
      </c>
      <c r="AD578" s="1086" t="s">
        <v>248</v>
      </c>
      <c r="AE578" s="1086" t="s">
        <v>3883</v>
      </c>
      <c r="AF578" s="1086">
        <f t="shared" si="33"/>
        <v>75650.349999999977</v>
      </c>
      <c r="AG578" s="1086">
        <f t="shared" si="36"/>
        <v>0</v>
      </c>
      <c r="AQ578" s="1086">
        <v>0</v>
      </c>
      <c r="AR578" s="1086">
        <v>0</v>
      </c>
      <c r="AS578" s="1086">
        <v>75650.350000000006</v>
      </c>
      <c r="AT578" s="1086">
        <f t="shared" si="34"/>
        <v>0</v>
      </c>
      <c r="AV578" s="1150">
        <f t="shared" si="35"/>
        <v>176612.83000000002</v>
      </c>
    </row>
    <row r="579" spans="1:48" x14ac:dyDescent="0.2">
      <c r="A579" s="19">
        <v>591</v>
      </c>
      <c r="B579" t="s">
        <v>1879</v>
      </c>
      <c r="C579" t="s">
        <v>2076</v>
      </c>
      <c r="D579" t="s">
        <v>1049</v>
      </c>
      <c r="E579" t="s">
        <v>2093</v>
      </c>
      <c r="F579" t="s">
        <v>2295</v>
      </c>
      <c r="G579" t="s">
        <v>1250</v>
      </c>
      <c r="H579" t="s">
        <v>3825</v>
      </c>
      <c r="I579" t="s">
        <v>3846</v>
      </c>
      <c r="J579" t="s">
        <v>3270</v>
      </c>
      <c r="K579" t="s">
        <v>3671</v>
      </c>
      <c r="L579" t="s">
        <v>3084</v>
      </c>
      <c r="M579" s="1086">
        <v>29615.07</v>
      </c>
      <c r="N579" s="1086">
        <v>0</v>
      </c>
      <c r="O579" s="1086">
        <v>0</v>
      </c>
      <c r="P579" s="1086">
        <v>0</v>
      </c>
      <c r="Q579" s="1086">
        <v>0</v>
      </c>
      <c r="R579" s="1086">
        <v>0</v>
      </c>
      <c r="S579" s="1086">
        <v>0</v>
      </c>
      <c r="T579" s="1086">
        <v>0</v>
      </c>
      <c r="U579" s="1086">
        <v>2000</v>
      </c>
      <c r="V579" s="1086">
        <v>0</v>
      </c>
      <c r="W579" s="1086">
        <v>0</v>
      </c>
      <c r="X579" s="1086">
        <v>0</v>
      </c>
      <c r="Y579" s="1086">
        <v>0</v>
      </c>
      <c r="Z579" s="1086">
        <v>0</v>
      </c>
      <c r="AA579" s="1086">
        <v>0</v>
      </c>
      <c r="AB579" s="1086">
        <v>0</v>
      </c>
      <c r="AC579" s="1086">
        <v>27615.07</v>
      </c>
      <c r="AD579" s="1086" t="s">
        <v>248</v>
      </c>
      <c r="AE579" s="1086" t="s">
        <v>3883</v>
      </c>
      <c r="AF579" s="1086">
        <f t="shared" si="33"/>
        <v>27615.07</v>
      </c>
      <c r="AG579" s="1086">
        <f t="shared" si="36"/>
        <v>0</v>
      </c>
      <c r="AQ579" s="1086">
        <v>0</v>
      </c>
      <c r="AR579" s="1086">
        <v>0</v>
      </c>
      <c r="AS579" s="1086">
        <v>27615.07</v>
      </c>
      <c r="AT579" s="1086">
        <f t="shared" si="34"/>
        <v>0</v>
      </c>
      <c r="AV579" s="1150">
        <f t="shared" si="35"/>
        <v>2000</v>
      </c>
    </row>
    <row r="580" spans="1:48" x14ac:dyDescent="0.2">
      <c r="A580" s="19">
        <v>592</v>
      </c>
      <c r="B580" t="s">
        <v>1880</v>
      </c>
      <c r="C580" t="s">
        <v>2076</v>
      </c>
      <c r="D580" t="s">
        <v>1050</v>
      </c>
      <c r="E580" t="s">
        <v>2094</v>
      </c>
      <c r="F580" t="s">
        <v>2296</v>
      </c>
      <c r="G580" t="s">
        <v>1250</v>
      </c>
      <c r="H580" t="s">
        <v>3822</v>
      </c>
      <c r="I580" t="s">
        <v>3846</v>
      </c>
      <c r="J580" t="s">
        <v>3272</v>
      </c>
      <c r="K580" t="s">
        <v>3672</v>
      </c>
      <c r="L580" t="s">
        <v>3085</v>
      </c>
      <c r="M580" s="1086">
        <v>11087.72</v>
      </c>
      <c r="N580" s="1086">
        <v>34500</v>
      </c>
      <c r="O580" s="1086">
        <v>0</v>
      </c>
      <c r="P580" s="1086">
        <v>33125</v>
      </c>
      <c r="Q580" s="1086">
        <v>0</v>
      </c>
      <c r="R580" s="1086">
        <v>0</v>
      </c>
      <c r="S580" s="1086">
        <v>0</v>
      </c>
      <c r="T580" s="1086">
        <v>3552.31</v>
      </c>
      <c r="U580" s="1086">
        <v>0</v>
      </c>
      <c r="V580" s="1086">
        <v>0</v>
      </c>
      <c r="W580" s="1086">
        <v>0</v>
      </c>
      <c r="X580" s="1086">
        <v>0</v>
      </c>
      <c r="Y580" s="1086">
        <v>0</v>
      </c>
      <c r="Z580" s="1086">
        <v>0</v>
      </c>
      <c r="AA580" s="1086">
        <v>0</v>
      </c>
      <c r="AB580" s="1086">
        <v>0</v>
      </c>
      <c r="AC580" s="1086">
        <v>8910.41</v>
      </c>
      <c r="AD580" s="1086" t="s">
        <v>248</v>
      </c>
      <c r="AE580" s="1086" t="s">
        <v>3883</v>
      </c>
      <c r="AF580" s="1086">
        <f t="shared" si="33"/>
        <v>8910.4100000000035</v>
      </c>
      <c r="AG580" s="1086">
        <f t="shared" si="36"/>
        <v>0</v>
      </c>
      <c r="AQ580" s="1086">
        <v>0</v>
      </c>
      <c r="AR580" s="1086">
        <v>0</v>
      </c>
      <c r="AS580" s="1086">
        <v>8910.41</v>
      </c>
      <c r="AT580" s="1086">
        <f t="shared" si="34"/>
        <v>0</v>
      </c>
      <c r="AV580" s="1150">
        <f t="shared" si="35"/>
        <v>36677.31</v>
      </c>
    </row>
    <row r="581" spans="1:48" x14ac:dyDescent="0.2">
      <c r="A581" s="19">
        <v>593</v>
      </c>
      <c r="B581" t="s">
        <v>1881</v>
      </c>
      <c r="C581" t="s">
        <v>2076</v>
      </c>
      <c r="D581" t="s">
        <v>1037</v>
      </c>
      <c r="E581" t="s">
        <v>2095</v>
      </c>
      <c r="F581" t="s">
        <v>2297</v>
      </c>
      <c r="G581" t="s">
        <v>1250</v>
      </c>
      <c r="H581" t="s">
        <v>3826</v>
      </c>
      <c r="I581" t="s">
        <v>3846</v>
      </c>
      <c r="J581" t="s">
        <v>3274</v>
      </c>
      <c r="K581" t="s">
        <v>3673</v>
      </c>
      <c r="L581" t="s">
        <v>3086</v>
      </c>
      <c r="M581" s="1086">
        <v>11609.62</v>
      </c>
      <c r="N581" s="1086">
        <v>800</v>
      </c>
      <c r="O581" s="1086">
        <v>0</v>
      </c>
      <c r="P581" s="1086">
        <v>0</v>
      </c>
      <c r="Q581" s="1086">
        <v>0</v>
      </c>
      <c r="R581" s="1086">
        <v>0</v>
      </c>
      <c r="S581" s="1086">
        <v>0</v>
      </c>
      <c r="T581" s="1086">
        <v>0</v>
      </c>
      <c r="U581" s="1086">
        <v>0</v>
      </c>
      <c r="V581" s="1086">
        <v>0</v>
      </c>
      <c r="W581" s="1086">
        <v>0</v>
      </c>
      <c r="X581" s="1086">
        <v>0</v>
      </c>
      <c r="Y581" s="1086">
        <v>0</v>
      </c>
      <c r="Z581" s="1086">
        <v>0</v>
      </c>
      <c r="AA581" s="1086">
        <v>0</v>
      </c>
      <c r="AB581" s="1086">
        <v>0</v>
      </c>
      <c r="AC581" s="1086">
        <v>12409.62</v>
      </c>
      <c r="AD581" s="1086" t="s">
        <v>248</v>
      </c>
      <c r="AE581" s="1086" t="s">
        <v>3883</v>
      </c>
      <c r="AF581" s="1086">
        <f t="shared" si="33"/>
        <v>12409.62</v>
      </c>
      <c r="AG581" s="1086">
        <f t="shared" si="36"/>
        <v>0</v>
      </c>
      <c r="AQ581" s="1086">
        <v>0</v>
      </c>
      <c r="AR581" s="1086">
        <v>0</v>
      </c>
      <c r="AS581" s="1086">
        <v>12409.62</v>
      </c>
      <c r="AT581" s="1086">
        <f t="shared" si="34"/>
        <v>0</v>
      </c>
      <c r="AV581" s="1150">
        <f t="shared" si="35"/>
        <v>0</v>
      </c>
    </row>
    <row r="582" spans="1:48" x14ac:dyDescent="0.2">
      <c r="A582" s="19">
        <v>594</v>
      </c>
      <c r="B582" t="s">
        <v>1882</v>
      </c>
      <c r="C582" t="s">
        <v>2076</v>
      </c>
      <c r="D582" t="s">
        <v>1027</v>
      </c>
      <c r="E582" t="s">
        <v>2099</v>
      </c>
      <c r="F582" t="s">
        <v>2301</v>
      </c>
      <c r="G582" t="s">
        <v>1254</v>
      </c>
      <c r="H582" t="s">
        <v>3823</v>
      </c>
      <c r="I582" t="s">
        <v>3251</v>
      </c>
      <c r="J582" t="s">
        <v>3251</v>
      </c>
      <c r="K582" t="s">
        <v>3251</v>
      </c>
      <c r="L582" t="s">
        <v>3087</v>
      </c>
      <c r="M582" s="1086">
        <v>15970.64</v>
      </c>
      <c r="N582" s="1086">
        <v>0</v>
      </c>
      <c r="O582" s="1086">
        <v>0</v>
      </c>
      <c r="P582" s="1086">
        <v>2800</v>
      </c>
      <c r="Q582" s="1086">
        <v>5812.5</v>
      </c>
      <c r="R582" s="1086">
        <v>0</v>
      </c>
      <c r="S582" s="1086">
        <v>0</v>
      </c>
      <c r="T582" s="1086">
        <v>916.32</v>
      </c>
      <c r="U582" s="1086">
        <v>460.18</v>
      </c>
      <c r="V582" s="1086">
        <v>0</v>
      </c>
      <c r="W582" s="1086">
        <v>0</v>
      </c>
      <c r="X582" s="1086">
        <v>0</v>
      </c>
      <c r="Y582" s="1086">
        <v>0</v>
      </c>
      <c r="Z582" s="1086">
        <v>0</v>
      </c>
      <c r="AA582" s="1086">
        <v>0</v>
      </c>
      <c r="AB582" s="1086">
        <v>0</v>
      </c>
      <c r="AC582" s="1086">
        <v>5981.64</v>
      </c>
      <c r="AD582" s="1086" t="s">
        <v>248</v>
      </c>
      <c r="AE582" s="1086" t="s">
        <v>3883</v>
      </c>
      <c r="AF582" s="1086">
        <f t="shared" si="33"/>
        <v>5981.6399999999994</v>
      </c>
      <c r="AG582" s="1086">
        <f t="shared" si="36"/>
        <v>0</v>
      </c>
      <c r="AQ582" s="1086">
        <v>0</v>
      </c>
      <c r="AR582" s="1086">
        <v>0</v>
      </c>
      <c r="AS582" s="1086">
        <v>5981.64</v>
      </c>
      <c r="AT582" s="1086">
        <f t="shared" si="34"/>
        <v>0</v>
      </c>
      <c r="AV582" s="1150">
        <f t="shared" si="35"/>
        <v>9989</v>
      </c>
    </row>
    <row r="583" spans="1:48" x14ac:dyDescent="0.2">
      <c r="A583" s="19">
        <v>595</v>
      </c>
      <c r="B583" t="s">
        <v>1883</v>
      </c>
      <c r="C583" t="s">
        <v>2076</v>
      </c>
      <c r="D583" t="s">
        <v>1050</v>
      </c>
      <c r="E583" t="s">
        <v>2100</v>
      </c>
      <c r="F583" t="s">
        <v>2302</v>
      </c>
      <c r="G583" t="s">
        <v>1250</v>
      </c>
      <c r="H583" t="s">
        <v>3822</v>
      </c>
      <c r="I583" t="s">
        <v>3846</v>
      </c>
      <c r="J583" t="s">
        <v>3272</v>
      </c>
      <c r="K583" t="s">
        <v>3674</v>
      </c>
      <c r="L583" t="s">
        <v>3088</v>
      </c>
      <c r="M583" s="1086">
        <v>56446.7</v>
      </c>
      <c r="N583" s="1086">
        <v>30000</v>
      </c>
      <c r="O583" s="1086">
        <v>0</v>
      </c>
      <c r="P583" s="1086">
        <v>29916.74</v>
      </c>
      <c r="Q583" s="1086">
        <v>0</v>
      </c>
      <c r="R583" s="1086">
        <v>0</v>
      </c>
      <c r="S583" s="1086">
        <v>0</v>
      </c>
      <c r="T583" s="1086">
        <v>6491.67</v>
      </c>
      <c r="U583" s="1086">
        <v>3899.67</v>
      </c>
      <c r="V583" s="1086">
        <v>0</v>
      </c>
      <c r="W583" s="1086">
        <v>0</v>
      </c>
      <c r="X583" s="1086">
        <v>0</v>
      </c>
      <c r="Y583" s="1086">
        <v>0</v>
      </c>
      <c r="Z583" s="1086">
        <v>0</v>
      </c>
      <c r="AA583" s="1086">
        <v>0</v>
      </c>
      <c r="AB583" s="1086">
        <v>0</v>
      </c>
      <c r="AC583" s="1086">
        <v>46138.62</v>
      </c>
      <c r="AD583" s="1086" t="s">
        <v>248</v>
      </c>
      <c r="AE583" s="1086" t="s">
        <v>3883</v>
      </c>
      <c r="AF583" s="1086">
        <f t="shared" si="33"/>
        <v>46138.619999999995</v>
      </c>
      <c r="AG583" s="1086">
        <f t="shared" si="36"/>
        <v>0</v>
      </c>
      <c r="AQ583" s="1086">
        <v>0</v>
      </c>
      <c r="AR583" s="1086">
        <v>0</v>
      </c>
      <c r="AS583" s="1086">
        <v>46138.62</v>
      </c>
      <c r="AT583" s="1086">
        <f t="shared" si="34"/>
        <v>0</v>
      </c>
      <c r="AV583" s="1150">
        <f t="shared" si="35"/>
        <v>40308.080000000002</v>
      </c>
    </row>
    <row r="584" spans="1:48" x14ac:dyDescent="0.2">
      <c r="A584" s="19">
        <v>596</v>
      </c>
      <c r="B584" t="s">
        <v>1884</v>
      </c>
      <c r="C584" t="s">
        <v>2076</v>
      </c>
      <c r="D584" t="s">
        <v>1050</v>
      </c>
      <c r="E584" t="s">
        <v>2100</v>
      </c>
      <c r="F584" t="s">
        <v>2302</v>
      </c>
      <c r="G584" t="s">
        <v>1250</v>
      </c>
      <c r="H584" t="s">
        <v>3825</v>
      </c>
      <c r="I584" t="s">
        <v>3846</v>
      </c>
      <c r="J584" t="s">
        <v>3272</v>
      </c>
      <c r="K584" t="s">
        <v>3675</v>
      </c>
      <c r="L584" t="s">
        <v>3089</v>
      </c>
      <c r="M584" s="1086">
        <v>1231.24</v>
      </c>
      <c r="N584" s="1086">
        <v>10000</v>
      </c>
      <c r="O584" s="1086">
        <v>0</v>
      </c>
      <c r="P584" s="1086">
        <v>0</v>
      </c>
      <c r="Q584" s="1086">
        <v>0</v>
      </c>
      <c r="R584" s="1086">
        <v>0</v>
      </c>
      <c r="S584" s="1086">
        <v>0</v>
      </c>
      <c r="T584" s="1086">
        <v>0</v>
      </c>
      <c r="U584" s="1086">
        <v>162.5</v>
      </c>
      <c r="V584" s="1086">
        <v>0</v>
      </c>
      <c r="W584" s="1086">
        <v>8155.2</v>
      </c>
      <c r="X584" s="1086">
        <v>0</v>
      </c>
      <c r="Y584" s="1086">
        <v>0</v>
      </c>
      <c r="Z584" s="1086">
        <v>0</v>
      </c>
      <c r="AA584" s="1086">
        <v>0</v>
      </c>
      <c r="AB584" s="1086">
        <v>0</v>
      </c>
      <c r="AC584" s="1086">
        <v>2913.54</v>
      </c>
      <c r="AD584" s="1086" t="s">
        <v>248</v>
      </c>
      <c r="AE584" s="1086" t="s">
        <v>3883</v>
      </c>
      <c r="AF584" s="1086">
        <f t="shared" ref="AF584:AF647" si="37">M584+N584+O584-(SUM(P584:AB584))-AQ584-AR584</f>
        <v>2913.5399999999991</v>
      </c>
      <c r="AG584" s="1086">
        <f t="shared" si="36"/>
        <v>0</v>
      </c>
      <c r="AQ584" s="1086">
        <v>0</v>
      </c>
      <c r="AR584" s="1086">
        <v>0</v>
      </c>
      <c r="AS584" s="1086">
        <v>2913.54</v>
      </c>
      <c r="AT584" s="1086">
        <f t="shared" ref="AT584:AT647" si="38">AC584-AS584</f>
        <v>0</v>
      </c>
      <c r="AV584" s="1150">
        <f t="shared" si="35"/>
        <v>8317.7000000000007</v>
      </c>
    </row>
    <row r="585" spans="1:48" x14ac:dyDescent="0.2">
      <c r="A585" s="19">
        <v>597</v>
      </c>
      <c r="B585" t="s">
        <v>1885</v>
      </c>
      <c r="C585" t="s">
        <v>2076</v>
      </c>
      <c r="D585" t="s">
        <v>1050</v>
      </c>
      <c r="E585" t="s">
        <v>2100</v>
      </c>
      <c r="F585" t="s">
        <v>2302</v>
      </c>
      <c r="G585" t="s">
        <v>1250</v>
      </c>
      <c r="H585" t="s">
        <v>3822</v>
      </c>
      <c r="I585">
        <v>0</v>
      </c>
      <c r="L585" t="s">
        <v>3090</v>
      </c>
      <c r="M585" s="1086">
        <v>1365.51</v>
      </c>
      <c r="N585" s="1086">
        <v>0</v>
      </c>
      <c r="O585" s="1086">
        <v>0</v>
      </c>
      <c r="P585" s="1086">
        <v>0</v>
      </c>
      <c r="Q585" s="1086">
        <v>0</v>
      </c>
      <c r="R585" s="1086">
        <v>0</v>
      </c>
      <c r="S585" s="1086">
        <v>0</v>
      </c>
      <c r="T585" s="1086">
        <v>0</v>
      </c>
      <c r="U585" s="1086">
        <v>70.88</v>
      </c>
      <c r="V585" s="1086">
        <v>0</v>
      </c>
      <c r="W585" s="1086">
        <v>0</v>
      </c>
      <c r="X585" s="1086">
        <v>1294.6300000000001</v>
      </c>
      <c r="Y585" s="1086">
        <v>0</v>
      </c>
      <c r="Z585" s="1086">
        <v>0</v>
      </c>
      <c r="AA585" s="1086">
        <v>0</v>
      </c>
      <c r="AB585" s="1086">
        <v>0</v>
      </c>
      <c r="AC585" s="1086">
        <v>0</v>
      </c>
      <c r="AD585" s="1086" t="s">
        <v>248</v>
      </c>
      <c r="AE585" s="1086" t="s">
        <v>3883</v>
      </c>
      <c r="AF585" s="1086">
        <f t="shared" si="37"/>
        <v>-2.2737367544323206E-13</v>
      </c>
      <c r="AG585" s="1086">
        <f t="shared" si="36"/>
        <v>2.2737367544323206E-13</v>
      </c>
      <c r="AQ585" s="1086">
        <v>0</v>
      </c>
      <c r="AR585" s="1086">
        <v>0</v>
      </c>
      <c r="AS585" s="1086">
        <v>0</v>
      </c>
      <c r="AT585" s="1086">
        <f t="shared" si="38"/>
        <v>0</v>
      </c>
      <c r="AV585" s="1150">
        <f t="shared" ref="AV585:AV648" si="39">SUM(P585:AB585)+AQ585+AR585</f>
        <v>1365.5100000000002</v>
      </c>
    </row>
    <row r="586" spans="1:48" x14ac:dyDescent="0.2">
      <c r="A586" s="19">
        <v>598</v>
      </c>
      <c r="B586" t="s">
        <v>1886</v>
      </c>
      <c r="C586" t="s">
        <v>2076</v>
      </c>
      <c r="D586" t="s">
        <v>1050</v>
      </c>
      <c r="E586" t="s">
        <v>2100</v>
      </c>
      <c r="F586" t="s">
        <v>2302</v>
      </c>
      <c r="G586" t="s">
        <v>1250</v>
      </c>
      <c r="H586" t="s">
        <v>3825</v>
      </c>
      <c r="I586" t="s">
        <v>3846</v>
      </c>
      <c r="J586" t="s">
        <v>3272</v>
      </c>
      <c r="K586" t="s">
        <v>3676</v>
      </c>
      <c r="L586" t="s">
        <v>3091</v>
      </c>
      <c r="M586" s="1086">
        <v>14285.12</v>
      </c>
      <c r="N586" s="1086">
        <v>15000</v>
      </c>
      <c r="O586" s="1086">
        <v>0</v>
      </c>
      <c r="P586" s="1086">
        <v>750</v>
      </c>
      <c r="Q586" s="1086">
        <v>100</v>
      </c>
      <c r="R586" s="1086">
        <v>0</v>
      </c>
      <c r="S586" s="1086">
        <v>1715</v>
      </c>
      <c r="T586" s="1086">
        <v>49.39</v>
      </c>
      <c r="U586" s="1086">
        <v>9323.18</v>
      </c>
      <c r="V586" s="1086">
        <v>0</v>
      </c>
      <c r="W586" s="1086">
        <v>0</v>
      </c>
      <c r="X586" s="1086">
        <v>0</v>
      </c>
      <c r="Y586" s="1086">
        <v>0</v>
      </c>
      <c r="Z586" s="1086">
        <v>0</v>
      </c>
      <c r="AA586" s="1086">
        <v>0</v>
      </c>
      <c r="AB586" s="1086">
        <v>0</v>
      </c>
      <c r="AC586" s="1086">
        <v>17347.55</v>
      </c>
      <c r="AD586" s="1086" t="s">
        <v>248</v>
      </c>
      <c r="AE586" s="1086" t="s">
        <v>3883</v>
      </c>
      <c r="AF586" s="1086">
        <f t="shared" si="37"/>
        <v>17347.550000000003</v>
      </c>
      <c r="AG586" s="1086">
        <f t="shared" si="36"/>
        <v>0</v>
      </c>
      <c r="AQ586" s="1086">
        <v>0</v>
      </c>
      <c r="AR586" s="1086">
        <v>0</v>
      </c>
      <c r="AS586" s="1086">
        <v>17347.55</v>
      </c>
      <c r="AT586" s="1086">
        <f t="shared" si="38"/>
        <v>0</v>
      </c>
      <c r="AV586" s="1150">
        <f t="shared" si="39"/>
        <v>11937.57</v>
      </c>
    </row>
    <row r="587" spans="1:48" x14ac:dyDescent="0.2">
      <c r="A587" s="19">
        <v>599</v>
      </c>
      <c r="B587" t="s">
        <v>1887</v>
      </c>
      <c r="C587" t="s">
        <v>2076</v>
      </c>
      <c r="D587" t="s">
        <v>1050</v>
      </c>
      <c r="E587" t="s">
        <v>2100</v>
      </c>
      <c r="F587" t="s">
        <v>2302</v>
      </c>
      <c r="G587" t="s">
        <v>1250</v>
      </c>
      <c r="H587" t="s">
        <v>3825</v>
      </c>
      <c r="I587" t="s">
        <v>3846</v>
      </c>
      <c r="J587" t="s">
        <v>3272</v>
      </c>
      <c r="K587" t="s">
        <v>3677</v>
      </c>
      <c r="L587" t="s">
        <v>3092</v>
      </c>
      <c r="M587" s="1086">
        <v>3820.75</v>
      </c>
      <c r="N587" s="1086">
        <v>20000</v>
      </c>
      <c r="O587" s="1086">
        <v>0</v>
      </c>
      <c r="P587" s="1086">
        <v>0</v>
      </c>
      <c r="Q587" s="1086">
        <v>0</v>
      </c>
      <c r="R587" s="1086">
        <v>0</v>
      </c>
      <c r="S587" s="1086">
        <v>0</v>
      </c>
      <c r="T587" s="1086">
        <v>0</v>
      </c>
      <c r="U587" s="1086">
        <v>1373.27</v>
      </c>
      <c r="V587" s="1086">
        <v>0</v>
      </c>
      <c r="W587" s="1086">
        <v>7352.16</v>
      </c>
      <c r="X587" s="1086">
        <v>3278.76</v>
      </c>
      <c r="Y587" s="1086">
        <v>0</v>
      </c>
      <c r="Z587" s="1086">
        <v>0</v>
      </c>
      <c r="AA587" s="1086">
        <v>0</v>
      </c>
      <c r="AB587" s="1086">
        <v>0</v>
      </c>
      <c r="AC587" s="1086">
        <v>11816.56</v>
      </c>
      <c r="AD587" s="1086" t="s">
        <v>248</v>
      </c>
      <c r="AE587" s="1086" t="s">
        <v>3883</v>
      </c>
      <c r="AF587" s="1086">
        <f t="shared" si="37"/>
        <v>11816.56</v>
      </c>
      <c r="AG587" s="1086">
        <f t="shared" si="36"/>
        <v>0</v>
      </c>
      <c r="AQ587" s="1086">
        <v>0</v>
      </c>
      <c r="AR587" s="1086">
        <v>0</v>
      </c>
      <c r="AS587" s="1086">
        <v>11816.56</v>
      </c>
      <c r="AT587" s="1086">
        <f t="shared" si="38"/>
        <v>0</v>
      </c>
      <c r="AV587" s="1150">
        <f t="shared" si="39"/>
        <v>12004.19</v>
      </c>
    </row>
    <row r="588" spans="1:48" x14ac:dyDescent="0.2">
      <c r="A588" s="19">
        <v>600</v>
      </c>
      <c r="B588" t="s">
        <v>1888</v>
      </c>
      <c r="C588" t="s">
        <v>2076</v>
      </c>
      <c r="D588" t="s">
        <v>1050</v>
      </c>
      <c r="E588" t="s">
        <v>2100</v>
      </c>
      <c r="F588" t="s">
        <v>2302</v>
      </c>
      <c r="G588" t="s">
        <v>1250</v>
      </c>
      <c r="H588" t="s">
        <v>3822</v>
      </c>
      <c r="I588">
        <v>0</v>
      </c>
      <c r="L588" t="s">
        <v>3093</v>
      </c>
      <c r="M588" s="1086">
        <v>0</v>
      </c>
      <c r="N588" s="1086">
        <v>0</v>
      </c>
      <c r="O588" s="1086">
        <v>0</v>
      </c>
      <c r="P588" s="1086">
        <v>0</v>
      </c>
      <c r="Q588" s="1086">
        <v>0</v>
      </c>
      <c r="R588" s="1086">
        <v>0</v>
      </c>
      <c r="S588" s="1086">
        <v>0</v>
      </c>
      <c r="T588" s="1086">
        <v>0</v>
      </c>
      <c r="U588" s="1086">
        <v>0</v>
      </c>
      <c r="V588" s="1086">
        <v>0</v>
      </c>
      <c r="W588" s="1086">
        <v>0</v>
      </c>
      <c r="X588" s="1086">
        <v>0</v>
      </c>
      <c r="Y588" s="1086">
        <v>0</v>
      </c>
      <c r="Z588" s="1086">
        <v>0</v>
      </c>
      <c r="AA588" s="1086">
        <v>0</v>
      </c>
      <c r="AB588" s="1086">
        <v>0</v>
      </c>
      <c r="AC588" s="1086">
        <v>0</v>
      </c>
      <c r="AD588" s="1086" t="s">
        <v>248</v>
      </c>
      <c r="AE588" s="1086" t="s">
        <v>3883</v>
      </c>
      <c r="AF588" s="1086">
        <f t="shared" si="37"/>
        <v>0</v>
      </c>
      <c r="AG588" s="1086">
        <f t="shared" si="36"/>
        <v>0</v>
      </c>
      <c r="AQ588" s="1086">
        <v>0</v>
      </c>
      <c r="AR588" s="1086">
        <v>0</v>
      </c>
      <c r="AS588" s="1086">
        <v>0</v>
      </c>
      <c r="AT588" s="1086">
        <f t="shared" si="38"/>
        <v>0</v>
      </c>
      <c r="AV588" s="1150">
        <f t="shared" si="39"/>
        <v>0</v>
      </c>
    </row>
    <row r="589" spans="1:48" x14ac:dyDescent="0.2">
      <c r="A589" s="19">
        <v>601</v>
      </c>
      <c r="B589" t="s">
        <v>1889</v>
      </c>
      <c r="C589" t="s">
        <v>2076</v>
      </c>
      <c r="D589" t="s">
        <v>1050</v>
      </c>
      <c r="E589" t="s">
        <v>2100</v>
      </c>
      <c r="F589" t="s">
        <v>2302</v>
      </c>
      <c r="G589" t="s">
        <v>1250</v>
      </c>
      <c r="H589" t="s">
        <v>3824</v>
      </c>
      <c r="I589" t="s">
        <v>3251</v>
      </c>
      <c r="J589" t="s">
        <v>3251</v>
      </c>
      <c r="K589" t="s">
        <v>3251</v>
      </c>
      <c r="L589" t="s">
        <v>3094</v>
      </c>
      <c r="M589" s="1086">
        <v>50000</v>
      </c>
      <c r="N589" s="1086">
        <v>50000</v>
      </c>
      <c r="O589" s="1086">
        <v>0</v>
      </c>
      <c r="P589" s="1086">
        <v>0</v>
      </c>
      <c r="Q589" s="1086">
        <v>0</v>
      </c>
      <c r="R589" s="1086">
        <v>0</v>
      </c>
      <c r="S589" s="1086">
        <v>0</v>
      </c>
      <c r="T589" s="1086">
        <v>0</v>
      </c>
      <c r="U589" s="1086">
        <v>0</v>
      </c>
      <c r="V589" s="1086">
        <v>0</v>
      </c>
      <c r="W589" s="1086">
        <v>0</v>
      </c>
      <c r="X589" s="1086">
        <v>0</v>
      </c>
      <c r="Y589" s="1086">
        <v>0</v>
      </c>
      <c r="Z589" s="1086">
        <v>0</v>
      </c>
      <c r="AA589" s="1086">
        <v>0</v>
      </c>
      <c r="AB589" s="1086">
        <v>0</v>
      </c>
      <c r="AC589" s="1086">
        <v>100000</v>
      </c>
      <c r="AD589" s="1086" t="s">
        <v>248</v>
      </c>
      <c r="AE589" s="1086" t="s">
        <v>3883</v>
      </c>
      <c r="AF589" s="1086">
        <f t="shared" si="37"/>
        <v>100000</v>
      </c>
      <c r="AG589" s="1086">
        <f t="shared" si="36"/>
        <v>0</v>
      </c>
      <c r="AQ589" s="1086">
        <v>0</v>
      </c>
      <c r="AR589" s="1086">
        <v>0</v>
      </c>
      <c r="AS589" s="1086">
        <v>100000</v>
      </c>
      <c r="AT589" s="1086">
        <f t="shared" si="38"/>
        <v>0</v>
      </c>
      <c r="AV589" s="1150">
        <f t="shared" si="39"/>
        <v>0</v>
      </c>
    </row>
    <row r="590" spans="1:48" x14ac:dyDescent="0.2">
      <c r="A590" s="19">
        <v>602</v>
      </c>
      <c r="B590" t="s">
        <v>1890</v>
      </c>
      <c r="C590" t="s">
        <v>2076</v>
      </c>
      <c r="D590" t="s">
        <v>1054</v>
      </c>
      <c r="E590" t="s">
        <v>2264</v>
      </c>
      <c r="F590" t="s">
        <v>2457</v>
      </c>
      <c r="G590" t="s">
        <v>1250</v>
      </c>
      <c r="H590" t="s">
        <v>3827</v>
      </c>
      <c r="I590">
        <v>0</v>
      </c>
      <c r="L590" t="s">
        <v>3095</v>
      </c>
      <c r="M590" s="1086">
        <v>35408.11</v>
      </c>
      <c r="N590" s="1086">
        <v>0</v>
      </c>
      <c r="O590" s="1086">
        <v>0</v>
      </c>
      <c r="P590" s="1086">
        <v>0</v>
      </c>
      <c r="Q590" s="1086">
        <v>0</v>
      </c>
      <c r="R590" s="1086">
        <v>0</v>
      </c>
      <c r="S590" s="1086">
        <v>0</v>
      </c>
      <c r="T590" s="1086">
        <v>0</v>
      </c>
      <c r="U590" s="1086">
        <v>0</v>
      </c>
      <c r="V590" s="1086">
        <v>0</v>
      </c>
      <c r="W590" s="1086">
        <v>574.28</v>
      </c>
      <c r="X590" s="1086">
        <v>0</v>
      </c>
      <c r="Y590" s="1086">
        <v>0</v>
      </c>
      <c r="Z590" s="1086">
        <v>0</v>
      </c>
      <c r="AA590" s="1086">
        <v>0</v>
      </c>
      <c r="AB590" s="1086">
        <v>0</v>
      </c>
      <c r="AC590" s="1086">
        <v>34833.83</v>
      </c>
      <c r="AD590" s="1086" t="s">
        <v>248</v>
      </c>
      <c r="AE590" s="1086" t="s">
        <v>3883</v>
      </c>
      <c r="AF590" s="1086">
        <f t="shared" si="37"/>
        <v>34833.83</v>
      </c>
      <c r="AG590" s="1086">
        <f t="shared" si="36"/>
        <v>0</v>
      </c>
      <c r="AQ590" s="1086">
        <v>0</v>
      </c>
      <c r="AR590" s="1086">
        <v>0</v>
      </c>
      <c r="AS590" s="1086">
        <v>34833.83</v>
      </c>
      <c r="AT590" s="1086">
        <f t="shared" si="38"/>
        <v>0</v>
      </c>
      <c r="AV590" s="1150">
        <f t="shared" si="39"/>
        <v>574.28</v>
      </c>
    </row>
    <row r="591" spans="1:48" x14ac:dyDescent="0.2">
      <c r="A591" s="19">
        <v>603</v>
      </c>
      <c r="B591" t="s">
        <v>1891</v>
      </c>
      <c r="C591" t="s">
        <v>2076</v>
      </c>
      <c r="D591" t="s">
        <v>1047</v>
      </c>
      <c r="E591" t="s">
        <v>2101</v>
      </c>
      <c r="F591" t="s">
        <v>2479</v>
      </c>
      <c r="G591" t="s">
        <v>608</v>
      </c>
      <c r="H591" t="s">
        <v>3826</v>
      </c>
      <c r="I591" t="s">
        <v>3251</v>
      </c>
      <c r="J591" t="s">
        <v>3251</v>
      </c>
      <c r="K591" t="s">
        <v>3251</v>
      </c>
      <c r="L591" t="s">
        <v>3096</v>
      </c>
      <c r="M591" s="1086">
        <v>5809.81</v>
      </c>
      <c r="N591" s="1086">
        <v>171842.46</v>
      </c>
      <c r="O591" s="1086">
        <v>0</v>
      </c>
      <c r="P591" s="1086">
        <v>52916.85</v>
      </c>
      <c r="Q591" s="1086">
        <v>18000</v>
      </c>
      <c r="R591" s="1086">
        <v>0</v>
      </c>
      <c r="S591" s="1086">
        <v>2040</v>
      </c>
      <c r="T591" s="1086">
        <v>13344.94</v>
      </c>
      <c r="U591" s="1086">
        <v>70111.850000000006</v>
      </c>
      <c r="V591" s="1086">
        <v>0</v>
      </c>
      <c r="W591" s="1086">
        <v>2868.62</v>
      </c>
      <c r="X591" s="1086">
        <v>0</v>
      </c>
      <c r="Y591" s="1086">
        <v>0</v>
      </c>
      <c r="Z591" s="1086">
        <v>0</v>
      </c>
      <c r="AA591" s="1086">
        <v>2492.6</v>
      </c>
      <c r="AB591" s="1086">
        <v>0</v>
      </c>
      <c r="AC591" s="1086">
        <v>15877.41</v>
      </c>
      <c r="AD591" s="1103" t="s">
        <v>608</v>
      </c>
      <c r="AE591" s="1086" t="s">
        <v>3884</v>
      </c>
      <c r="AF591" s="1086">
        <f t="shared" si="37"/>
        <v>15877.409999999974</v>
      </c>
      <c r="AG591" s="1086">
        <f t="shared" si="36"/>
        <v>2.5465851649641991E-11</v>
      </c>
      <c r="AQ591" s="1086">
        <v>0</v>
      </c>
      <c r="AR591" s="1086">
        <v>0</v>
      </c>
      <c r="AS591" s="1086">
        <v>15877.41</v>
      </c>
      <c r="AT591" s="1086">
        <f t="shared" si="38"/>
        <v>0</v>
      </c>
      <c r="AV591" s="1150">
        <f t="shared" si="39"/>
        <v>161774.86000000002</v>
      </c>
    </row>
    <row r="592" spans="1:48" x14ac:dyDescent="0.2">
      <c r="A592" s="19">
        <v>604</v>
      </c>
      <c r="B592" t="s">
        <v>1892</v>
      </c>
      <c r="C592" t="s">
        <v>2076</v>
      </c>
      <c r="D592" t="s">
        <v>1040</v>
      </c>
      <c r="E592" t="s">
        <v>2105</v>
      </c>
      <c r="F592" t="s">
        <v>2305</v>
      </c>
      <c r="G592" t="s">
        <v>1257</v>
      </c>
      <c r="H592" t="s">
        <v>3826</v>
      </c>
      <c r="I592">
        <v>0</v>
      </c>
      <c r="L592" t="s">
        <v>3097</v>
      </c>
      <c r="M592" s="1086">
        <v>27869.5</v>
      </c>
      <c r="N592" s="1086">
        <v>41347</v>
      </c>
      <c r="O592" s="1086">
        <v>0</v>
      </c>
      <c r="P592" s="1086">
        <v>0</v>
      </c>
      <c r="Q592" s="1086">
        <v>0</v>
      </c>
      <c r="R592" s="1086">
        <v>0</v>
      </c>
      <c r="S592" s="1086">
        <v>0</v>
      </c>
      <c r="T592" s="1086">
        <v>0</v>
      </c>
      <c r="U592" s="1086">
        <v>43941.69</v>
      </c>
      <c r="V592" s="1086">
        <v>0</v>
      </c>
      <c r="W592" s="1086">
        <v>0</v>
      </c>
      <c r="X592" s="1086">
        <v>0</v>
      </c>
      <c r="Y592" s="1086">
        <v>0</v>
      </c>
      <c r="Z592" s="1086">
        <v>0</v>
      </c>
      <c r="AA592" s="1086">
        <v>0</v>
      </c>
      <c r="AB592" s="1086">
        <v>0</v>
      </c>
      <c r="AC592" s="1086">
        <v>25274.81</v>
      </c>
      <c r="AD592" s="1086" t="s">
        <v>248</v>
      </c>
      <c r="AE592" s="1086" t="s">
        <v>3883</v>
      </c>
      <c r="AF592" s="1086">
        <f t="shared" si="37"/>
        <v>25274.809999999998</v>
      </c>
      <c r="AG592" s="1086">
        <f t="shared" si="36"/>
        <v>0</v>
      </c>
      <c r="AQ592" s="1086">
        <v>0</v>
      </c>
      <c r="AR592" s="1086">
        <v>0</v>
      </c>
      <c r="AS592" s="1086">
        <v>25274.81</v>
      </c>
      <c r="AT592" s="1086">
        <f t="shared" si="38"/>
        <v>0</v>
      </c>
      <c r="AV592" s="1150">
        <f t="shared" si="39"/>
        <v>43941.69</v>
      </c>
    </row>
    <row r="593" spans="1:48" x14ac:dyDescent="0.2">
      <c r="A593" s="19">
        <v>605</v>
      </c>
      <c r="B593" t="s">
        <v>1893</v>
      </c>
      <c r="C593" t="s">
        <v>2076</v>
      </c>
      <c r="D593" t="s">
        <v>1036</v>
      </c>
      <c r="E593" t="s">
        <v>2112</v>
      </c>
      <c r="F593" t="s">
        <v>2309</v>
      </c>
      <c r="G593" t="s">
        <v>1250</v>
      </c>
      <c r="H593" t="s">
        <v>3825</v>
      </c>
      <c r="I593" t="s">
        <v>3846</v>
      </c>
      <c r="J593" t="s">
        <v>3263</v>
      </c>
      <c r="K593" t="s">
        <v>3678</v>
      </c>
      <c r="L593" t="s">
        <v>3098</v>
      </c>
      <c r="M593" s="1086">
        <v>35527.69</v>
      </c>
      <c r="N593" s="1086">
        <v>46296</v>
      </c>
      <c r="O593" s="1086">
        <v>0</v>
      </c>
      <c r="P593" s="1086">
        <v>600</v>
      </c>
      <c r="Q593" s="1086">
        <v>0</v>
      </c>
      <c r="R593" s="1086">
        <v>0</v>
      </c>
      <c r="S593" s="1086">
        <v>0</v>
      </c>
      <c r="T593" s="1086">
        <v>578.11</v>
      </c>
      <c r="U593" s="1086">
        <v>47860.77</v>
      </c>
      <c r="V593" s="1086">
        <v>0</v>
      </c>
      <c r="W593" s="1086">
        <v>0</v>
      </c>
      <c r="X593" s="1086">
        <v>0</v>
      </c>
      <c r="Y593" s="1086">
        <v>0</v>
      </c>
      <c r="Z593" s="1086">
        <v>0</v>
      </c>
      <c r="AA593" s="1086">
        <v>0</v>
      </c>
      <c r="AB593" s="1086">
        <v>0</v>
      </c>
      <c r="AC593" s="1086">
        <v>32784.81</v>
      </c>
      <c r="AD593" s="1086" t="s">
        <v>248</v>
      </c>
      <c r="AE593" s="1086" t="s">
        <v>3883</v>
      </c>
      <c r="AF593" s="1086">
        <f t="shared" si="37"/>
        <v>32784.810000000005</v>
      </c>
      <c r="AG593" s="1086">
        <f t="shared" si="36"/>
        <v>0</v>
      </c>
      <c r="AQ593" s="1086">
        <v>0</v>
      </c>
      <c r="AR593" s="1086">
        <v>0</v>
      </c>
      <c r="AS593" s="1086">
        <v>32784.81</v>
      </c>
      <c r="AT593" s="1086">
        <f t="shared" si="38"/>
        <v>0</v>
      </c>
      <c r="AV593" s="1150">
        <f t="shared" si="39"/>
        <v>49038.879999999997</v>
      </c>
    </row>
    <row r="594" spans="1:48" x14ac:dyDescent="0.2">
      <c r="A594" s="19">
        <v>606</v>
      </c>
      <c r="B594" t="s">
        <v>1894</v>
      </c>
      <c r="C594" t="s">
        <v>2076</v>
      </c>
      <c r="D594" t="s">
        <v>1036</v>
      </c>
      <c r="E594" t="s">
        <v>2112</v>
      </c>
      <c r="F594" t="s">
        <v>2309</v>
      </c>
      <c r="G594" t="s">
        <v>1250</v>
      </c>
      <c r="H594" t="s">
        <v>3825</v>
      </c>
      <c r="I594">
        <v>0</v>
      </c>
      <c r="L594" t="s">
        <v>3099</v>
      </c>
      <c r="M594" s="1086">
        <v>19251.46</v>
      </c>
      <c r="N594" s="1086">
        <v>0</v>
      </c>
      <c r="O594" s="1086">
        <v>0</v>
      </c>
      <c r="P594" s="1086">
        <v>0</v>
      </c>
      <c r="Q594" s="1086">
        <v>0</v>
      </c>
      <c r="R594" s="1086">
        <v>0</v>
      </c>
      <c r="S594" s="1086">
        <v>0</v>
      </c>
      <c r="T594" s="1086">
        <v>0</v>
      </c>
      <c r="U594" s="1086">
        <v>19251.46</v>
      </c>
      <c r="V594" s="1086">
        <v>0</v>
      </c>
      <c r="W594" s="1086">
        <v>0</v>
      </c>
      <c r="X594" s="1086">
        <v>0</v>
      </c>
      <c r="Y594" s="1086">
        <v>0</v>
      </c>
      <c r="Z594" s="1086">
        <v>0</v>
      </c>
      <c r="AA594" s="1086">
        <v>0</v>
      </c>
      <c r="AB594" s="1086">
        <v>0</v>
      </c>
      <c r="AC594" s="1086">
        <v>0</v>
      </c>
      <c r="AD594" s="1086" t="s">
        <v>248</v>
      </c>
      <c r="AE594" s="1086" t="s">
        <v>3883</v>
      </c>
      <c r="AF594" s="1086">
        <f t="shared" si="37"/>
        <v>0</v>
      </c>
      <c r="AG594" s="1086">
        <f t="shared" si="36"/>
        <v>0</v>
      </c>
      <c r="AQ594" s="1086">
        <v>0</v>
      </c>
      <c r="AR594" s="1086">
        <v>0</v>
      </c>
      <c r="AS594" s="1086">
        <v>0</v>
      </c>
      <c r="AT594" s="1086">
        <f t="shared" si="38"/>
        <v>0</v>
      </c>
      <c r="AV594" s="1150">
        <f t="shared" si="39"/>
        <v>19251.46</v>
      </c>
    </row>
    <row r="595" spans="1:48" x14ac:dyDescent="0.2">
      <c r="A595" s="19">
        <v>607</v>
      </c>
      <c r="B595" t="s">
        <v>1895</v>
      </c>
      <c r="C595" t="s">
        <v>2076</v>
      </c>
      <c r="D595" t="s">
        <v>1036</v>
      </c>
      <c r="E595" t="s">
        <v>2113</v>
      </c>
      <c r="F595" t="s">
        <v>2310</v>
      </c>
      <c r="G595" t="s">
        <v>1250</v>
      </c>
      <c r="H595" t="s">
        <v>3825</v>
      </c>
      <c r="I595" t="s">
        <v>3846</v>
      </c>
      <c r="J595" t="s">
        <v>3263</v>
      </c>
      <c r="K595" t="s">
        <v>3679</v>
      </c>
      <c r="L595" t="s">
        <v>3100</v>
      </c>
      <c r="M595" s="1086">
        <v>31936.880000000001</v>
      </c>
      <c r="N595" s="1086">
        <v>0</v>
      </c>
      <c r="O595" s="1086">
        <v>0</v>
      </c>
      <c r="P595" s="1086">
        <v>0</v>
      </c>
      <c r="Q595" s="1086">
        <v>0</v>
      </c>
      <c r="R595" s="1086">
        <v>0</v>
      </c>
      <c r="S595" s="1086">
        <v>0</v>
      </c>
      <c r="T595" s="1086">
        <v>0</v>
      </c>
      <c r="U595" s="1086">
        <v>1271.52</v>
      </c>
      <c r="V595" s="1086">
        <v>0</v>
      </c>
      <c r="W595" s="1086">
        <v>352</v>
      </c>
      <c r="X595" s="1086">
        <v>0</v>
      </c>
      <c r="Y595" s="1086">
        <v>0</v>
      </c>
      <c r="Z595" s="1086">
        <v>0</v>
      </c>
      <c r="AA595" s="1086">
        <v>0</v>
      </c>
      <c r="AB595" s="1086">
        <v>0</v>
      </c>
      <c r="AC595" s="1086">
        <v>30313.360000000001</v>
      </c>
      <c r="AD595" s="1086" t="s">
        <v>248</v>
      </c>
      <c r="AE595" s="1086" t="s">
        <v>3883</v>
      </c>
      <c r="AF595" s="1086">
        <f t="shared" si="37"/>
        <v>30313.360000000001</v>
      </c>
      <c r="AG595" s="1086">
        <f t="shared" si="36"/>
        <v>0</v>
      </c>
      <c r="AQ595" s="1086">
        <v>0</v>
      </c>
      <c r="AR595" s="1086">
        <v>0</v>
      </c>
      <c r="AS595" s="1086">
        <v>30313.360000000001</v>
      </c>
      <c r="AT595" s="1086">
        <f t="shared" si="38"/>
        <v>0</v>
      </c>
      <c r="AV595" s="1150">
        <f t="shared" si="39"/>
        <v>1623.52</v>
      </c>
    </row>
    <row r="596" spans="1:48" x14ac:dyDescent="0.2">
      <c r="A596" s="19">
        <v>608</v>
      </c>
      <c r="B596" t="s">
        <v>1896</v>
      </c>
      <c r="C596" t="s">
        <v>2076</v>
      </c>
      <c r="D596" t="s">
        <v>1036</v>
      </c>
      <c r="E596" t="s">
        <v>2113</v>
      </c>
      <c r="F596" t="s">
        <v>2310</v>
      </c>
      <c r="G596" t="s">
        <v>1250</v>
      </c>
      <c r="H596" t="s">
        <v>3825</v>
      </c>
      <c r="I596" t="s">
        <v>3846</v>
      </c>
      <c r="J596" t="s">
        <v>3263</v>
      </c>
      <c r="K596" t="s">
        <v>3680</v>
      </c>
      <c r="L596" t="s">
        <v>3101</v>
      </c>
      <c r="M596" s="1086">
        <v>77981.47</v>
      </c>
      <c r="N596" s="1086">
        <v>0</v>
      </c>
      <c r="O596" s="1086">
        <v>0</v>
      </c>
      <c r="P596" s="1086">
        <v>54702.35</v>
      </c>
      <c r="Q596" s="1086">
        <v>0</v>
      </c>
      <c r="R596" s="1086">
        <v>0</v>
      </c>
      <c r="S596" s="1086">
        <v>0</v>
      </c>
      <c r="T596" s="1086">
        <v>15114.39</v>
      </c>
      <c r="U596" s="1086">
        <v>45.42</v>
      </c>
      <c r="V596" s="1086">
        <v>0</v>
      </c>
      <c r="W596" s="1086">
        <v>0</v>
      </c>
      <c r="X596" s="1086">
        <v>0</v>
      </c>
      <c r="Y596" s="1086">
        <v>0</v>
      </c>
      <c r="Z596" s="1086">
        <v>0</v>
      </c>
      <c r="AA596" s="1086">
        <v>0</v>
      </c>
      <c r="AB596" s="1086">
        <v>0</v>
      </c>
      <c r="AC596" s="1086">
        <v>8119.31</v>
      </c>
      <c r="AD596" s="1086" t="s">
        <v>248</v>
      </c>
      <c r="AE596" s="1086" t="s">
        <v>3883</v>
      </c>
      <c r="AF596" s="1086">
        <f t="shared" si="37"/>
        <v>8119.3100000000122</v>
      </c>
      <c r="AG596" s="1086">
        <f t="shared" si="36"/>
        <v>-1.1823431123048067E-11</v>
      </c>
      <c r="AQ596" s="1086">
        <v>0</v>
      </c>
      <c r="AR596" s="1086">
        <v>0</v>
      </c>
      <c r="AS596" s="1086">
        <v>8119.31</v>
      </c>
      <c r="AT596" s="1086">
        <f t="shared" si="38"/>
        <v>0</v>
      </c>
      <c r="AV596" s="1150">
        <f t="shared" si="39"/>
        <v>69862.159999999989</v>
      </c>
    </row>
    <row r="597" spans="1:48" x14ac:dyDescent="0.2">
      <c r="A597" s="19">
        <v>609</v>
      </c>
      <c r="B597" t="s">
        <v>1897</v>
      </c>
      <c r="C597" s="167" t="s">
        <v>3909</v>
      </c>
      <c r="D597" t="s">
        <v>1036</v>
      </c>
      <c r="E597" t="s">
        <v>2113</v>
      </c>
      <c r="F597" t="s">
        <v>2310</v>
      </c>
      <c r="G597" t="s">
        <v>1250</v>
      </c>
      <c r="H597" t="s">
        <v>3825</v>
      </c>
      <c r="I597">
        <v>0</v>
      </c>
      <c r="L597" t="s">
        <v>3102</v>
      </c>
      <c r="M597" s="1086">
        <v>30592.09</v>
      </c>
      <c r="N597" s="1086">
        <v>3264.42</v>
      </c>
      <c r="O597" s="1086">
        <v>0</v>
      </c>
      <c r="P597" s="1086">
        <v>0</v>
      </c>
      <c r="Q597" s="1086">
        <v>0</v>
      </c>
      <c r="R597" s="1086">
        <v>0</v>
      </c>
      <c r="S597" s="1086">
        <v>0</v>
      </c>
      <c r="T597" s="1086">
        <v>0</v>
      </c>
      <c r="U597" s="1086">
        <v>0</v>
      </c>
      <c r="V597" s="1086">
        <v>0</v>
      </c>
      <c r="W597" s="1086">
        <v>0</v>
      </c>
      <c r="X597" s="1086">
        <v>0</v>
      </c>
      <c r="Y597" s="1086">
        <v>0</v>
      </c>
      <c r="Z597" s="1086">
        <v>0</v>
      </c>
      <c r="AA597" s="1086">
        <v>0</v>
      </c>
      <c r="AB597" s="1086">
        <v>0</v>
      </c>
      <c r="AC597" s="1086">
        <v>33856.51</v>
      </c>
      <c r="AD597" s="1086" t="s">
        <v>248</v>
      </c>
      <c r="AE597" s="1086" t="s">
        <v>3883</v>
      </c>
      <c r="AF597" s="1086">
        <f t="shared" si="37"/>
        <v>33856.51</v>
      </c>
      <c r="AG597" s="1086">
        <f t="shared" si="36"/>
        <v>0</v>
      </c>
      <c r="AQ597" s="1086">
        <v>0</v>
      </c>
      <c r="AR597" s="1086">
        <v>0</v>
      </c>
      <c r="AS597" s="1086">
        <v>33856.51</v>
      </c>
      <c r="AT597" s="1086">
        <f t="shared" si="38"/>
        <v>0</v>
      </c>
      <c r="AV597" s="1150">
        <f t="shared" si="39"/>
        <v>0</v>
      </c>
    </row>
    <row r="598" spans="1:48" x14ac:dyDescent="0.2">
      <c r="A598" s="19">
        <v>610</v>
      </c>
      <c r="B598" t="s">
        <v>1898</v>
      </c>
      <c r="C598" t="s">
        <v>2076</v>
      </c>
      <c r="D598" t="s">
        <v>1036</v>
      </c>
      <c r="E598" t="s">
        <v>2113</v>
      </c>
      <c r="F598" t="s">
        <v>2310</v>
      </c>
      <c r="G598" t="s">
        <v>1250</v>
      </c>
      <c r="H598" t="s">
        <v>3825</v>
      </c>
      <c r="I598" t="s">
        <v>3846</v>
      </c>
      <c r="J598" t="s">
        <v>3263</v>
      </c>
      <c r="K598" t="s">
        <v>3681</v>
      </c>
      <c r="L598" t="s">
        <v>3103</v>
      </c>
      <c r="M598" s="1086">
        <v>3279.32</v>
      </c>
      <c r="N598" s="1086">
        <v>5000</v>
      </c>
      <c r="O598" s="1086">
        <v>0</v>
      </c>
      <c r="P598" s="1086">
        <v>3000</v>
      </c>
      <c r="Q598" s="1086">
        <v>0</v>
      </c>
      <c r="R598" s="1086">
        <v>0</v>
      </c>
      <c r="S598" s="1086">
        <v>0</v>
      </c>
      <c r="T598" s="1086">
        <v>79.5</v>
      </c>
      <c r="U598" s="1086">
        <v>0</v>
      </c>
      <c r="V598" s="1086">
        <v>0</v>
      </c>
      <c r="W598" s="1086">
        <v>0</v>
      </c>
      <c r="X598" s="1086">
        <v>0</v>
      </c>
      <c r="Y598" s="1086">
        <v>0</v>
      </c>
      <c r="Z598" s="1086">
        <v>0</v>
      </c>
      <c r="AA598" s="1086">
        <v>0</v>
      </c>
      <c r="AB598" s="1086">
        <v>0</v>
      </c>
      <c r="AC598" s="1086">
        <v>5199.82</v>
      </c>
      <c r="AD598" s="1086" t="s">
        <v>248</v>
      </c>
      <c r="AE598" s="1086" t="s">
        <v>3883</v>
      </c>
      <c r="AF598" s="1086">
        <f t="shared" si="37"/>
        <v>5199.82</v>
      </c>
      <c r="AG598" s="1086">
        <f t="shared" si="36"/>
        <v>0</v>
      </c>
      <c r="AQ598" s="1086">
        <v>0</v>
      </c>
      <c r="AR598" s="1086">
        <v>0</v>
      </c>
      <c r="AS598" s="1086">
        <v>5199.82</v>
      </c>
      <c r="AT598" s="1086">
        <f t="shared" si="38"/>
        <v>0</v>
      </c>
      <c r="AV598" s="1150">
        <f t="shared" si="39"/>
        <v>3079.5</v>
      </c>
    </row>
    <row r="599" spans="1:48" x14ac:dyDescent="0.2">
      <c r="A599" s="19">
        <v>611</v>
      </c>
      <c r="B599" t="s">
        <v>1899</v>
      </c>
      <c r="C599" t="s">
        <v>2076</v>
      </c>
      <c r="D599" t="s">
        <v>1036</v>
      </c>
      <c r="E599" t="s">
        <v>2113</v>
      </c>
      <c r="F599" t="s">
        <v>2310</v>
      </c>
      <c r="G599" t="s">
        <v>1250</v>
      </c>
      <c r="H599" t="s">
        <v>3825</v>
      </c>
      <c r="I599" t="s">
        <v>3846</v>
      </c>
      <c r="J599" t="s">
        <v>3263</v>
      </c>
      <c r="K599" t="s">
        <v>3682</v>
      </c>
      <c r="L599" t="s">
        <v>3104</v>
      </c>
      <c r="M599" s="1086">
        <v>9453.4500000000007</v>
      </c>
      <c r="N599" s="1086">
        <v>0</v>
      </c>
      <c r="O599" s="1086">
        <v>0</v>
      </c>
      <c r="P599" s="1086">
        <v>0</v>
      </c>
      <c r="Q599" s="1086">
        <v>0</v>
      </c>
      <c r="R599" s="1086">
        <v>0</v>
      </c>
      <c r="S599" s="1086">
        <v>468.5</v>
      </c>
      <c r="T599" s="1086">
        <v>13.85</v>
      </c>
      <c r="U599" s="1086">
        <v>223.51</v>
      </c>
      <c r="V599" s="1086">
        <v>0</v>
      </c>
      <c r="W599" s="1086">
        <v>3129.83</v>
      </c>
      <c r="X599" s="1086">
        <v>0</v>
      </c>
      <c r="Y599" s="1086">
        <v>0</v>
      </c>
      <c r="Z599" s="1086">
        <v>0</v>
      </c>
      <c r="AA599" s="1086">
        <v>0</v>
      </c>
      <c r="AB599" s="1086">
        <v>0</v>
      </c>
      <c r="AC599" s="1086">
        <v>5617.76</v>
      </c>
      <c r="AD599" s="1086" t="s">
        <v>248</v>
      </c>
      <c r="AE599" s="1086" t="s">
        <v>3883</v>
      </c>
      <c r="AF599" s="1086">
        <f t="shared" si="37"/>
        <v>5617.76</v>
      </c>
      <c r="AG599" s="1086">
        <f t="shared" si="36"/>
        <v>0</v>
      </c>
      <c r="AQ599" s="1086">
        <v>0</v>
      </c>
      <c r="AR599" s="1086">
        <v>0</v>
      </c>
      <c r="AS599" s="1086">
        <v>5617.76</v>
      </c>
      <c r="AT599" s="1086">
        <f t="shared" si="38"/>
        <v>0</v>
      </c>
      <c r="AV599" s="1150">
        <f t="shared" si="39"/>
        <v>3835.69</v>
      </c>
    </row>
    <row r="600" spans="1:48" x14ac:dyDescent="0.2">
      <c r="A600" s="19">
        <v>612</v>
      </c>
      <c r="B600" t="s">
        <v>1900</v>
      </c>
      <c r="C600" t="s">
        <v>2076</v>
      </c>
      <c r="D600" t="s">
        <v>1036</v>
      </c>
      <c r="E600" t="s">
        <v>2113</v>
      </c>
      <c r="F600" t="s">
        <v>2310</v>
      </c>
      <c r="G600" t="s">
        <v>1250</v>
      </c>
      <c r="H600" t="s">
        <v>3825</v>
      </c>
      <c r="I600" t="s">
        <v>3846</v>
      </c>
      <c r="J600" t="s">
        <v>3263</v>
      </c>
      <c r="K600" t="s">
        <v>3683</v>
      </c>
      <c r="L600" t="s">
        <v>3105</v>
      </c>
      <c r="M600" s="1086">
        <v>117516.1</v>
      </c>
      <c r="N600" s="1086">
        <v>0</v>
      </c>
      <c r="O600" s="1086">
        <v>0</v>
      </c>
      <c r="P600" s="1086">
        <v>0</v>
      </c>
      <c r="Q600" s="1086">
        <v>0</v>
      </c>
      <c r="R600" s="1086">
        <v>0</v>
      </c>
      <c r="S600" s="1086">
        <v>0</v>
      </c>
      <c r="T600" s="1086">
        <v>0</v>
      </c>
      <c r="U600" s="1086">
        <v>21417.14</v>
      </c>
      <c r="V600" s="1086">
        <v>0</v>
      </c>
      <c r="W600" s="1086">
        <v>19071.400000000001</v>
      </c>
      <c r="X600" s="1086">
        <v>339.29</v>
      </c>
      <c r="Y600" s="1086">
        <v>0</v>
      </c>
      <c r="Z600" s="1086">
        <v>0</v>
      </c>
      <c r="AA600" s="1086">
        <v>0</v>
      </c>
      <c r="AB600" s="1086">
        <v>0</v>
      </c>
      <c r="AC600" s="1086">
        <v>76688.27</v>
      </c>
      <c r="AD600" s="1086" t="s">
        <v>248</v>
      </c>
      <c r="AE600" s="1086" t="s">
        <v>3883</v>
      </c>
      <c r="AF600" s="1086">
        <f t="shared" si="37"/>
        <v>76688.27</v>
      </c>
      <c r="AG600" s="1086">
        <f t="shared" si="36"/>
        <v>0</v>
      </c>
      <c r="AQ600" s="1086">
        <v>0</v>
      </c>
      <c r="AR600" s="1086">
        <v>0</v>
      </c>
      <c r="AS600" s="1086">
        <v>76688.27</v>
      </c>
      <c r="AT600" s="1086">
        <f t="shared" si="38"/>
        <v>0</v>
      </c>
      <c r="AV600" s="1150">
        <f t="shared" si="39"/>
        <v>40827.83</v>
      </c>
    </row>
    <row r="601" spans="1:48" x14ac:dyDescent="0.2">
      <c r="A601" s="19">
        <v>613</v>
      </c>
      <c r="B601" t="s">
        <v>1901</v>
      </c>
      <c r="C601" t="s">
        <v>2076</v>
      </c>
      <c r="D601" t="s">
        <v>1036</v>
      </c>
      <c r="E601" t="s">
        <v>2113</v>
      </c>
      <c r="F601" t="s">
        <v>2310</v>
      </c>
      <c r="G601" t="s">
        <v>1250</v>
      </c>
      <c r="H601" t="s">
        <v>3825</v>
      </c>
      <c r="I601" t="s">
        <v>3846</v>
      </c>
      <c r="J601" t="s">
        <v>3263</v>
      </c>
      <c r="K601" t="s">
        <v>3684</v>
      </c>
      <c r="L601" t="s">
        <v>3106</v>
      </c>
      <c r="M601" s="1086">
        <v>79055.38</v>
      </c>
      <c r="N601" s="1086">
        <v>0</v>
      </c>
      <c r="O601" s="1086">
        <v>0</v>
      </c>
      <c r="P601" s="1086">
        <v>0</v>
      </c>
      <c r="Q601" s="1086">
        <v>0</v>
      </c>
      <c r="R601" s="1086">
        <v>0</v>
      </c>
      <c r="S601" s="1086">
        <v>0</v>
      </c>
      <c r="T601" s="1086">
        <v>0</v>
      </c>
      <c r="U601" s="1086">
        <v>222.86</v>
      </c>
      <c r="V601" s="1086">
        <v>0</v>
      </c>
      <c r="W601" s="1086">
        <v>0</v>
      </c>
      <c r="X601" s="1086">
        <v>0</v>
      </c>
      <c r="Y601" s="1086">
        <v>0</v>
      </c>
      <c r="Z601" s="1086">
        <v>0</v>
      </c>
      <c r="AA601" s="1086">
        <v>0</v>
      </c>
      <c r="AB601" s="1086">
        <v>0</v>
      </c>
      <c r="AC601" s="1086">
        <v>78832.52</v>
      </c>
      <c r="AD601" s="1086" t="s">
        <v>248</v>
      </c>
      <c r="AE601" s="1086" t="s">
        <v>3883</v>
      </c>
      <c r="AF601" s="1086">
        <f t="shared" si="37"/>
        <v>78832.52</v>
      </c>
      <c r="AG601" s="1086">
        <f t="shared" si="36"/>
        <v>0</v>
      </c>
      <c r="AQ601" s="1086">
        <v>0</v>
      </c>
      <c r="AR601" s="1086">
        <v>0</v>
      </c>
      <c r="AS601" s="1086">
        <v>78832.52</v>
      </c>
      <c r="AT601" s="1086">
        <f t="shared" si="38"/>
        <v>0</v>
      </c>
      <c r="AV601" s="1150">
        <f t="shared" si="39"/>
        <v>222.86</v>
      </c>
    </row>
    <row r="602" spans="1:48" x14ac:dyDescent="0.2">
      <c r="A602" s="19">
        <v>614</v>
      </c>
      <c r="B602" t="s">
        <v>1902</v>
      </c>
      <c r="C602" t="s">
        <v>2076</v>
      </c>
      <c r="D602" t="s">
        <v>1036</v>
      </c>
      <c r="E602" t="s">
        <v>2113</v>
      </c>
      <c r="F602" t="s">
        <v>2310</v>
      </c>
      <c r="G602" t="s">
        <v>1250</v>
      </c>
      <c r="H602" t="s">
        <v>3823</v>
      </c>
      <c r="I602" t="s">
        <v>3846</v>
      </c>
      <c r="J602" t="s">
        <v>3263</v>
      </c>
      <c r="K602" t="s">
        <v>3685</v>
      </c>
      <c r="L602" t="s">
        <v>3107</v>
      </c>
      <c r="M602" s="1086">
        <v>107842.77</v>
      </c>
      <c r="N602" s="1086">
        <v>120000</v>
      </c>
      <c r="O602" s="1086">
        <v>0</v>
      </c>
      <c r="P602" s="1086">
        <v>81882</v>
      </c>
      <c r="Q602" s="1086">
        <v>15000</v>
      </c>
      <c r="R602" s="1086">
        <v>0</v>
      </c>
      <c r="S602" s="1086">
        <v>0</v>
      </c>
      <c r="T602" s="1086">
        <v>8500.75</v>
      </c>
      <c r="U602" s="1086">
        <v>43842.93</v>
      </c>
      <c r="V602" s="1086">
        <v>0</v>
      </c>
      <c r="W602" s="1086">
        <v>121.58</v>
      </c>
      <c r="X602" s="1086">
        <v>2881.13</v>
      </c>
      <c r="Y602" s="1086">
        <v>0</v>
      </c>
      <c r="Z602" s="1086">
        <v>0</v>
      </c>
      <c r="AA602" s="1086">
        <v>0</v>
      </c>
      <c r="AB602" s="1086">
        <v>0</v>
      </c>
      <c r="AC602" s="1086">
        <v>75614.38</v>
      </c>
      <c r="AD602" s="1086" t="s">
        <v>248</v>
      </c>
      <c r="AE602" s="1086" t="s">
        <v>3883</v>
      </c>
      <c r="AF602" s="1086">
        <f t="shared" si="37"/>
        <v>75614.380000000034</v>
      </c>
      <c r="AG602" s="1086">
        <f t="shared" si="36"/>
        <v>0</v>
      </c>
      <c r="AQ602" s="1086">
        <v>0</v>
      </c>
      <c r="AR602" s="1086">
        <v>0</v>
      </c>
      <c r="AS602" s="1086">
        <v>75614.38</v>
      </c>
      <c r="AT602" s="1086">
        <f t="shared" si="38"/>
        <v>0</v>
      </c>
      <c r="AV602" s="1150">
        <f t="shared" si="39"/>
        <v>152228.38999999998</v>
      </c>
    </row>
    <row r="603" spans="1:48" x14ac:dyDescent="0.2">
      <c r="A603" s="19">
        <v>615</v>
      </c>
      <c r="B603" t="s">
        <v>1903</v>
      </c>
      <c r="C603" t="s">
        <v>2076</v>
      </c>
      <c r="D603" t="s">
        <v>1036</v>
      </c>
      <c r="E603" t="s">
        <v>2113</v>
      </c>
      <c r="F603" t="s">
        <v>2310</v>
      </c>
      <c r="G603" t="s">
        <v>1250</v>
      </c>
      <c r="H603" t="s">
        <v>3825</v>
      </c>
      <c r="I603" t="s">
        <v>3846</v>
      </c>
      <c r="J603" t="s">
        <v>3263</v>
      </c>
      <c r="K603" t="s">
        <v>3686</v>
      </c>
      <c r="L603" t="s">
        <v>3108</v>
      </c>
      <c r="M603" s="1086">
        <v>61773.94</v>
      </c>
      <c r="N603" s="1086">
        <v>0</v>
      </c>
      <c r="O603" s="1086">
        <v>0</v>
      </c>
      <c r="P603" s="1086">
        <v>33777.33</v>
      </c>
      <c r="Q603" s="1086">
        <v>0</v>
      </c>
      <c r="R603" s="1086">
        <v>0</v>
      </c>
      <c r="S603" s="1086">
        <v>0</v>
      </c>
      <c r="T603" s="1086">
        <v>7262.48</v>
      </c>
      <c r="U603" s="1086">
        <v>0</v>
      </c>
      <c r="V603" s="1086">
        <v>0</v>
      </c>
      <c r="W603" s="1086">
        <v>0</v>
      </c>
      <c r="X603" s="1086">
        <v>0</v>
      </c>
      <c r="Y603" s="1086">
        <v>0</v>
      </c>
      <c r="Z603" s="1086">
        <v>0</v>
      </c>
      <c r="AA603" s="1086">
        <v>0</v>
      </c>
      <c r="AB603" s="1086">
        <v>0</v>
      </c>
      <c r="AC603" s="1086">
        <v>20734.13</v>
      </c>
      <c r="AD603" s="1086" t="s">
        <v>248</v>
      </c>
      <c r="AE603" s="1086" t="s">
        <v>3883</v>
      </c>
      <c r="AF603" s="1086">
        <f t="shared" si="37"/>
        <v>20734.130000000005</v>
      </c>
      <c r="AG603" s="1086">
        <f t="shared" si="36"/>
        <v>0</v>
      </c>
      <c r="AQ603" s="1086">
        <v>0</v>
      </c>
      <c r="AR603" s="1086">
        <v>0</v>
      </c>
      <c r="AS603" s="1086">
        <v>20734.13</v>
      </c>
      <c r="AT603" s="1086">
        <f t="shared" si="38"/>
        <v>0</v>
      </c>
      <c r="AV603" s="1150">
        <f t="shared" si="39"/>
        <v>41039.81</v>
      </c>
    </row>
    <row r="604" spans="1:48" x14ac:dyDescent="0.2">
      <c r="A604" s="19">
        <v>616</v>
      </c>
      <c r="B604" t="s">
        <v>1904</v>
      </c>
      <c r="C604" t="s">
        <v>2076</v>
      </c>
      <c r="D604" t="s">
        <v>1036</v>
      </c>
      <c r="E604" t="s">
        <v>2113</v>
      </c>
      <c r="F604" t="s">
        <v>2310</v>
      </c>
      <c r="G604" t="s">
        <v>1250</v>
      </c>
      <c r="H604" t="s">
        <v>3825</v>
      </c>
      <c r="I604" t="s">
        <v>3251</v>
      </c>
      <c r="J604" t="s">
        <v>3251</v>
      </c>
      <c r="K604" t="s">
        <v>3251</v>
      </c>
      <c r="L604" t="s">
        <v>3109</v>
      </c>
      <c r="M604" s="1086">
        <v>23337.86</v>
      </c>
      <c r="N604" s="1086">
        <v>0</v>
      </c>
      <c r="O604" s="1086">
        <v>0</v>
      </c>
      <c r="P604" s="1086">
        <v>0</v>
      </c>
      <c r="Q604" s="1086">
        <v>0</v>
      </c>
      <c r="R604" s="1086">
        <v>0</v>
      </c>
      <c r="S604" s="1086">
        <v>0</v>
      </c>
      <c r="T604" s="1086">
        <v>0</v>
      </c>
      <c r="U604" s="1086">
        <v>227.32</v>
      </c>
      <c r="V604" s="1086">
        <v>0</v>
      </c>
      <c r="W604" s="1086">
        <v>3343</v>
      </c>
      <c r="X604" s="1086">
        <v>0</v>
      </c>
      <c r="Y604" s="1086">
        <v>0</v>
      </c>
      <c r="Z604" s="1086">
        <v>0</v>
      </c>
      <c r="AA604" s="1086">
        <v>0</v>
      </c>
      <c r="AB604" s="1086">
        <v>0</v>
      </c>
      <c r="AC604" s="1086">
        <v>19767.54</v>
      </c>
      <c r="AD604" s="1086" t="s">
        <v>248</v>
      </c>
      <c r="AE604" s="1086" t="s">
        <v>3883</v>
      </c>
      <c r="AF604" s="1086">
        <f t="shared" si="37"/>
        <v>19767.54</v>
      </c>
      <c r="AG604" s="1086">
        <f t="shared" si="36"/>
        <v>0</v>
      </c>
      <c r="AQ604" s="1086">
        <v>0</v>
      </c>
      <c r="AR604" s="1086">
        <v>0</v>
      </c>
      <c r="AS604" s="1086">
        <v>19767.54</v>
      </c>
      <c r="AT604" s="1086">
        <f t="shared" si="38"/>
        <v>0</v>
      </c>
      <c r="AV604" s="1150">
        <f t="shared" si="39"/>
        <v>3570.32</v>
      </c>
    </row>
    <row r="605" spans="1:48" x14ac:dyDescent="0.2">
      <c r="A605" s="19">
        <v>617</v>
      </c>
      <c r="B605" t="s">
        <v>1905</v>
      </c>
      <c r="C605" t="s">
        <v>2076</v>
      </c>
      <c r="D605" t="s">
        <v>1050</v>
      </c>
      <c r="E605" t="s">
        <v>2115</v>
      </c>
      <c r="F605" t="s">
        <v>2312</v>
      </c>
      <c r="G605" t="s">
        <v>1250</v>
      </c>
      <c r="H605" t="s">
        <v>3822</v>
      </c>
      <c r="I605" t="s">
        <v>3846</v>
      </c>
      <c r="J605" t="s">
        <v>3272</v>
      </c>
      <c r="K605" t="s">
        <v>3687</v>
      </c>
      <c r="L605" t="s">
        <v>3110</v>
      </c>
      <c r="M605" s="1086">
        <v>18466.52</v>
      </c>
      <c r="N605" s="1086">
        <v>100000</v>
      </c>
      <c r="O605" s="1086">
        <v>0</v>
      </c>
      <c r="P605" s="1086">
        <v>79374.320000000007</v>
      </c>
      <c r="Q605" s="1086">
        <v>0</v>
      </c>
      <c r="R605" s="1086">
        <v>0</v>
      </c>
      <c r="S605" s="1086">
        <v>0</v>
      </c>
      <c r="T605" s="1086">
        <v>19382.349999999999</v>
      </c>
      <c r="U605" s="1086">
        <v>37.85</v>
      </c>
      <c r="V605" s="1086">
        <v>0</v>
      </c>
      <c r="W605" s="1086">
        <v>0</v>
      </c>
      <c r="X605" s="1086">
        <v>0</v>
      </c>
      <c r="Y605" s="1086">
        <v>0</v>
      </c>
      <c r="Z605" s="1086">
        <v>0</v>
      </c>
      <c r="AA605" s="1086">
        <v>0</v>
      </c>
      <c r="AB605" s="1086">
        <v>0</v>
      </c>
      <c r="AC605" s="1086">
        <v>19672</v>
      </c>
      <c r="AD605" s="1086" t="s">
        <v>248</v>
      </c>
      <c r="AE605" s="1086" t="s">
        <v>3883</v>
      </c>
      <c r="AF605" s="1086">
        <f t="shared" si="37"/>
        <v>19671.999999999985</v>
      </c>
      <c r="AG605" s="1086">
        <f t="shared" si="36"/>
        <v>0</v>
      </c>
      <c r="AQ605" s="1086">
        <v>0</v>
      </c>
      <c r="AR605" s="1086">
        <v>0</v>
      </c>
      <c r="AS605" s="1086">
        <v>19672</v>
      </c>
      <c r="AT605" s="1086">
        <f t="shared" si="38"/>
        <v>0</v>
      </c>
      <c r="AV605" s="1150">
        <f t="shared" si="39"/>
        <v>98794.520000000019</v>
      </c>
    </row>
    <row r="606" spans="1:48" x14ac:dyDescent="0.2">
      <c r="A606" s="19">
        <v>618</v>
      </c>
      <c r="B606" t="s">
        <v>1906</v>
      </c>
      <c r="C606" t="s">
        <v>2076</v>
      </c>
      <c r="D606" t="s">
        <v>1050</v>
      </c>
      <c r="E606" t="s">
        <v>2115</v>
      </c>
      <c r="F606" t="s">
        <v>2312</v>
      </c>
      <c r="G606" t="s">
        <v>1250</v>
      </c>
      <c r="H606" t="s">
        <v>3822</v>
      </c>
      <c r="I606" t="s">
        <v>3251</v>
      </c>
      <c r="J606" t="s">
        <v>3251</v>
      </c>
      <c r="K606" t="s">
        <v>3251</v>
      </c>
      <c r="L606" t="s">
        <v>3111</v>
      </c>
      <c r="M606" s="1086">
        <v>33015.14</v>
      </c>
      <c r="N606" s="1086">
        <v>50000</v>
      </c>
      <c r="O606" s="1086">
        <v>0</v>
      </c>
      <c r="P606" s="1086">
        <v>45000</v>
      </c>
      <c r="Q606" s="1086">
        <v>0</v>
      </c>
      <c r="R606" s="1086">
        <v>0</v>
      </c>
      <c r="S606" s="1086">
        <v>0</v>
      </c>
      <c r="T606" s="1086">
        <v>5415.1</v>
      </c>
      <c r="U606" s="1086">
        <v>0</v>
      </c>
      <c r="V606" s="1086">
        <v>0</v>
      </c>
      <c r="W606" s="1086">
        <v>0</v>
      </c>
      <c r="X606" s="1086">
        <v>0</v>
      </c>
      <c r="Y606" s="1086">
        <v>0</v>
      </c>
      <c r="Z606" s="1086">
        <v>0</v>
      </c>
      <c r="AA606" s="1086">
        <v>0</v>
      </c>
      <c r="AB606" s="1086">
        <v>0</v>
      </c>
      <c r="AC606" s="1086">
        <v>32600.04</v>
      </c>
      <c r="AD606" s="1086" t="s">
        <v>248</v>
      </c>
      <c r="AE606" s="1086" t="s">
        <v>3883</v>
      </c>
      <c r="AF606" s="1086">
        <f t="shared" si="37"/>
        <v>32600.04</v>
      </c>
      <c r="AG606" s="1086">
        <f t="shared" si="36"/>
        <v>0</v>
      </c>
      <c r="AQ606" s="1086">
        <v>0</v>
      </c>
      <c r="AR606" s="1086">
        <v>0</v>
      </c>
      <c r="AS606" s="1086">
        <v>32600.04</v>
      </c>
      <c r="AT606" s="1086">
        <f t="shared" si="38"/>
        <v>0</v>
      </c>
      <c r="AV606" s="1150">
        <f t="shared" si="39"/>
        <v>50415.1</v>
      </c>
    </row>
    <row r="607" spans="1:48" x14ac:dyDescent="0.2">
      <c r="A607" s="19">
        <v>619</v>
      </c>
      <c r="B607" t="s">
        <v>1907</v>
      </c>
      <c r="C607" t="s">
        <v>2076</v>
      </c>
      <c r="D607" t="s">
        <v>1050</v>
      </c>
      <c r="E607" t="s">
        <v>2115</v>
      </c>
      <c r="F607" t="s">
        <v>2312</v>
      </c>
      <c r="G607" t="s">
        <v>1250</v>
      </c>
      <c r="H607" t="s">
        <v>3822</v>
      </c>
      <c r="I607" t="s">
        <v>3251</v>
      </c>
      <c r="J607" t="s">
        <v>3251</v>
      </c>
      <c r="K607" t="s">
        <v>3251</v>
      </c>
      <c r="L607" t="s">
        <v>3112</v>
      </c>
      <c r="M607" s="1086">
        <v>21732.880000000001</v>
      </c>
      <c r="N607" s="1086">
        <v>225000</v>
      </c>
      <c r="O607" s="1086">
        <v>0</v>
      </c>
      <c r="P607" s="1086">
        <v>111444.8</v>
      </c>
      <c r="Q607" s="1086">
        <v>0</v>
      </c>
      <c r="R607" s="1086">
        <v>0</v>
      </c>
      <c r="S607" s="1086">
        <v>0</v>
      </c>
      <c r="T607" s="1086">
        <v>22586.83</v>
      </c>
      <c r="U607" s="1086">
        <v>13941.48</v>
      </c>
      <c r="V607" s="1086">
        <v>0</v>
      </c>
      <c r="W607" s="1086">
        <v>0</v>
      </c>
      <c r="X607" s="1086">
        <v>12159.05</v>
      </c>
      <c r="Y607" s="1086">
        <v>0</v>
      </c>
      <c r="Z607" s="1086">
        <v>0</v>
      </c>
      <c r="AA607" s="1086">
        <v>0</v>
      </c>
      <c r="AB607" s="1086">
        <v>0</v>
      </c>
      <c r="AC607" s="1086">
        <v>86600.72</v>
      </c>
      <c r="AD607" s="1086" t="s">
        <v>248</v>
      </c>
      <c r="AE607" s="1086" t="s">
        <v>3883</v>
      </c>
      <c r="AF607" s="1086">
        <f t="shared" si="37"/>
        <v>86600.72</v>
      </c>
      <c r="AG607" s="1086">
        <f t="shared" si="36"/>
        <v>0</v>
      </c>
      <c r="AQ607" s="1086">
        <v>0</v>
      </c>
      <c r="AR607" s="1086">
        <v>0</v>
      </c>
      <c r="AS607" s="1086">
        <v>86600.72</v>
      </c>
      <c r="AT607" s="1086">
        <f t="shared" si="38"/>
        <v>0</v>
      </c>
      <c r="AV607" s="1150">
        <f t="shared" si="39"/>
        <v>160132.16</v>
      </c>
    </row>
    <row r="608" spans="1:48" x14ac:dyDescent="0.2">
      <c r="A608" s="19">
        <v>620</v>
      </c>
      <c r="B608" t="s">
        <v>1908</v>
      </c>
      <c r="C608" t="s">
        <v>2076</v>
      </c>
      <c r="D608" t="s">
        <v>1027</v>
      </c>
      <c r="E608" t="s">
        <v>2118</v>
      </c>
      <c r="F608" t="s">
        <v>2315</v>
      </c>
      <c r="G608" t="s">
        <v>1254</v>
      </c>
      <c r="H608" t="s">
        <v>3822</v>
      </c>
      <c r="I608" t="s">
        <v>3846</v>
      </c>
      <c r="J608" t="s">
        <v>3246</v>
      </c>
      <c r="K608" t="s">
        <v>3688</v>
      </c>
      <c r="L608" t="s">
        <v>3113</v>
      </c>
      <c r="M608" s="1086">
        <v>185168.65</v>
      </c>
      <c r="N608" s="1086">
        <v>124</v>
      </c>
      <c r="O608" s="1086">
        <v>0</v>
      </c>
      <c r="P608" s="1086">
        <v>0</v>
      </c>
      <c r="Q608" s="1086">
        <v>0</v>
      </c>
      <c r="R608" s="1086">
        <v>0</v>
      </c>
      <c r="S608" s="1086">
        <v>9511.1</v>
      </c>
      <c r="T608" s="1086">
        <v>5440.21</v>
      </c>
      <c r="U608" s="1086">
        <v>78644.25</v>
      </c>
      <c r="V608" s="1086">
        <v>0</v>
      </c>
      <c r="W608" s="1086">
        <v>1743.43</v>
      </c>
      <c r="X608" s="1086">
        <v>48760.94</v>
      </c>
      <c r="Y608" s="1086">
        <v>0</v>
      </c>
      <c r="Z608" s="1086">
        <v>0</v>
      </c>
      <c r="AA608" s="1086">
        <v>0</v>
      </c>
      <c r="AB608" s="1086">
        <v>0</v>
      </c>
      <c r="AC608" s="1086">
        <v>41192.720000000001</v>
      </c>
      <c r="AD608" s="1086" t="s">
        <v>248</v>
      </c>
      <c r="AE608" s="1086" t="s">
        <v>3883</v>
      </c>
      <c r="AF608" s="1086">
        <f t="shared" si="37"/>
        <v>41192.720000000001</v>
      </c>
      <c r="AG608" s="1086">
        <f t="shared" si="36"/>
        <v>0</v>
      </c>
      <c r="AQ608" s="1086">
        <v>0</v>
      </c>
      <c r="AR608" s="1086">
        <v>0</v>
      </c>
      <c r="AS608" s="1086">
        <v>41192.720000000001</v>
      </c>
      <c r="AT608" s="1086">
        <f t="shared" si="38"/>
        <v>0</v>
      </c>
      <c r="AV608" s="1150">
        <f t="shared" si="39"/>
        <v>144099.93</v>
      </c>
    </row>
    <row r="609" spans="1:48" x14ac:dyDescent="0.2">
      <c r="A609" s="19">
        <v>621</v>
      </c>
      <c r="B609" t="s">
        <v>1909</v>
      </c>
      <c r="C609" t="s">
        <v>2076</v>
      </c>
      <c r="D609" t="s">
        <v>1039</v>
      </c>
      <c r="E609" t="s">
        <v>2119</v>
      </c>
      <c r="F609" t="s">
        <v>2316</v>
      </c>
      <c r="G609" t="s">
        <v>1250</v>
      </c>
      <c r="H609" t="s">
        <v>3825</v>
      </c>
      <c r="I609">
        <v>0</v>
      </c>
      <c r="L609" t="s">
        <v>3114</v>
      </c>
      <c r="M609" s="1086">
        <v>1526.43</v>
      </c>
      <c r="N609" s="1086">
        <v>0</v>
      </c>
      <c r="O609" s="1086">
        <v>0</v>
      </c>
      <c r="P609" s="1086">
        <v>0</v>
      </c>
      <c r="Q609" s="1086">
        <v>0</v>
      </c>
      <c r="R609" s="1086">
        <v>0</v>
      </c>
      <c r="S609" s="1086">
        <v>0</v>
      </c>
      <c r="T609" s="1086">
        <v>0</v>
      </c>
      <c r="U609" s="1086">
        <v>1526.43</v>
      </c>
      <c r="V609" s="1086">
        <v>0</v>
      </c>
      <c r="W609" s="1086">
        <v>0</v>
      </c>
      <c r="X609" s="1086">
        <v>0</v>
      </c>
      <c r="Y609" s="1086">
        <v>0</v>
      </c>
      <c r="Z609" s="1086">
        <v>0</v>
      </c>
      <c r="AA609" s="1086">
        <v>0</v>
      </c>
      <c r="AB609" s="1086">
        <v>0</v>
      </c>
      <c r="AC609" s="1086">
        <v>0</v>
      </c>
      <c r="AD609" s="1086" t="s">
        <v>248</v>
      </c>
      <c r="AE609" s="1086" t="s">
        <v>3883</v>
      </c>
      <c r="AF609" s="1086">
        <f t="shared" si="37"/>
        <v>0</v>
      </c>
      <c r="AG609" s="1086">
        <f t="shared" si="36"/>
        <v>0</v>
      </c>
      <c r="AQ609" s="1086">
        <v>0</v>
      </c>
      <c r="AR609" s="1086">
        <v>0</v>
      </c>
      <c r="AS609" s="1086">
        <v>0</v>
      </c>
      <c r="AT609" s="1086">
        <f t="shared" si="38"/>
        <v>0</v>
      </c>
      <c r="AV609" s="1150">
        <f t="shared" si="39"/>
        <v>1526.43</v>
      </c>
    </row>
    <row r="610" spans="1:48" x14ac:dyDescent="0.2">
      <c r="A610" s="19">
        <v>622</v>
      </c>
      <c r="B610" t="s">
        <v>1910</v>
      </c>
      <c r="C610" t="s">
        <v>2076</v>
      </c>
      <c r="D610" t="s">
        <v>1039</v>
      </c>
      <c r="E610" t="s">
        <v>2119</v>
      </c>
      <c r="F610" t="s">
        <v>2316</v>
      </c>
      <c r="G610" t="s">
        <v>1250</v>
      </c>
      <c r="H610" t="s">
        <v>3825</v>
      </c>
      <c r="I610" t="s">
        <v>3846</v>
      </c>
      <c r="J610" t="s">
        <v>3266</v>
      </c>
      <c r="K610" t="s">
        <v>3689</v>
      </c>
      <c r="L610" t="s">
        <v>3115</v>
      </c>
      <c r="M610" s="1086">
        <v>20919.23</v>
      </c>
      <c r="N610" s="1086">
        <v>29500</v>
      </c>
      <c r="O610" s="1086">
        <v>1121.47</v>
      </c>
      <c r="P610" s="1086">
        <v>0</v>
      </c>
      <c r="Q610" s="1086">
        <v>0</v>
      </c>
      <c r="R610" s="1086">
        <v>0</v>
      </c>
      <c r="S610" s="1086">
        <v>0</v>
      </c>
      <c r="T610" s="1086">
        <v>0</v>
      </c>
      <c r="U610" s="1086">
        <v>30107.040000000001</v>
      </c>
      <c r="V610" s="1086">
        <v>0</v>
      </c>
      <c r="W610" s="1086">
        <v>4538.49</v>
      </c>
      <c r="X610" s="1086">
        <v>3248.98</v>
      </c>
      <c r="Y610" s="1086">
        <v>0</v>
      </c>
      <c r="Z610" s="1086">
        <v>0</v>
      </c>
      <c r="AA610" s="1086">
        <v>0</v>
      </c>
      <c r="AB610" s="1086">
        <v>0</v>
      </c>
      <c r="AC610" s="1086">
        <v>13646.19</v>
      </c>
      <c r="AD610" s="1086" t="s">
        <v>248</v>
      </c>
      <c r="AE610" s="1086" t="s">
        <v>3883</v>
      </c>
      <c r="AF610" s="1086">
        <f t="shared" si="37"/>
        <v>13646.189999999995</v>
      </c>
      <c r="AG610" s="1086">
        <f t="shared" si="36"/>
        <v>0</v>
      </c>
      <c r="AQ610" s="1086">
        <v>0</v>
      </c>
      <c r="AR610" s="1086">
        <v>0</v>
      </c>
      <c r="AS610" s="1086">
        <v>13646.19</v>
      </c>
      <c r="AT610" s="1086">
        <f t="shared" si="38"/>
        <v>0</v>
      </c>
      <c r="AV610" s="1150">
        <f t="shared" si="39"/>
        <v>37894.51</v>
      </c>
    </row>
    <row r="611" spans="1:48" x14ac:dyDescent="0.2">
      <c r="A611" s="19">
        <v>623</v>
      </c>
      <c r="B611" t="s">
        <v>1911</v>
      </c>
      <c r="C611" t="s">
        <v>2076</v>
      </c>
      <c r="D611" t="s">
        <v>1058</v>
      </c>
      <c r="E611" t="s">
        <v>2120</v>
      </c>
      <c r="F611" t="s">
        <v>2317</v>
      </c>
      <c r="G611" t="s">
        <v>1250</v>
      </c>
      <c r="H611" t="s">
        <v>3823</v>
      </c>
      <c r="I611" t="s">
        <v>3251</v>
      </c>
      <c r="J611" t="s">
        <v>3251</v>
      </c>
      <c r="K611" t="s">
        <v>3251</v>
      </c>
      <c r="L611" t="s">
        <v>3116</v>
      </c>
      <c r="M611" s="1086">
        <v>0</v>
      </c>
      <c r="N611" s="1086">
        <v>300000</v>
      </c>
      <c r="O611" s="1086">
        <v>0</v>
      </c>
      <c r="P611" s="1086">
        <v>0</v>
      </c>
      <c r="Q611" s="1086">
        <v>0</v>
      </c>
      <c r="R611" s="1086">
        <v>1089.82</v>
      </c>
      <c r="S611" s="1086">
        <v>0</v>
      </c>
      <c r="T611" s="1086">
        <v>280.17</v>
      </c>
      <c r="U611" s="1086">
        <v>52393</v>
      </c>
      <c r="V611" s="1086">
        <v>0</v>
      </c>
      <c r="W611" s="1086">
        <v>56.75</v>
      </c>
      <c r="X611" s="1086">
        <v>0</v>
      </c>
      <c r="Y611" s="1086">
        <v>0</v>
      </c>
      <c r="Z611" s="1086">
        <v>0</v>
      </c>
      <c r="AA611" s="1086">
        <v>0</v>
      </c>
      <c r="AB611" s="1086">
        <v>0</v>
      </c>
      <c r="AC611" s="1086">
        <v>246180.26</v>
      </c>
      <c r="AD611" s="1086" t="s">
        <v>248</v>
      </c>
      <c r="AE611" s="1086" t="s">
        <v>3883</v>
      </c>
      <c r="AF611" s="1086">
        <f t="shared" si="37"/>
        <v>246180.26</v>
      </c>
      <c r="AG611" s="1086">
        <f t="shared" si="36"/>
        <v>0</v>
      </c>
      <c r="AQ611" s="1086">
        <v>0</v>
      </c>
      <c r="AR611" s="1086">
        <v>0</v>
      </c>
      <c r="AS611" s="1086">
        <v>246180.26</v>
      </c>
      <c r="AT611" s="1086">
        <f t="shared" si="38"/>
        <v>0</v>
      </c>
      <c r="AV611" s="1150">
        <f t="shared" si="39"/>
        <v>53819.74</v>
      </c>
    </row>
    <row r="612" spans="1:48" x14ac:dyDescent="0.2">
      <c r="A612" s="19">
        <v>624</v>
      </c>
      <c r="B612" t="s">
        <v>1912</v>
      </c>
      <c r="C612" t="s">
        <v>2076</v>
      </c>
      <c r="D612" t="s">
        <v>1059</v>
      </c>
      <c r="E612" t="s">
        <v>2124</v>
      </c>
      <c r="F612" t="s">
        <v>2321</v>
      </c>
      <c r="G612" t="s">
        <v>1250</v>
      </c>
      <c r="H612" t="s">
        <v>3822</v>
      </c>
      <c r="I612" t="s">
        <v>3846</v>
      </c>
      <c r="J612" t="s">
        <v>3257</v>
      </c>
      <c r="K612" t="s">
        <v>3690</v>
      </c>
      <c r="L612" t="s">
        <v>3117</v>
      </c>
      <c r="M612" s="1086">
        <v>2741.61</v>
      </c>
      <c r="N612" s="1086">
        <v>19587</v>
      </c>
      <c r="O612" s="1086">
        <v>0</v>
      </c>
      <c r="P612" s="1086">
        <v>0</v>
      </c>
      <c r="Q612" s="1086">
        <v>0</v>
      </c>
      <c r="R612" s="1086">
        <v>0</v>
      </c>
      <c r="S612" s="1086">
        <v>0</v>
      </c>
      <c r="T612" s="1086">
        <v>0</v>
      </c>
      <c r="U612" s="1086">
        <v>0</v>
      </c>
      <c r="V612" s="1086">
        <v>0</v>
      </c>
      <c r="W612" s="1086">
        <v>0</v>
      </c>
      <c r="X612" s="1086">
        <v>201.16</v>
      </c>
      <c r="Y612" s="1086">
        <v>0</v>
      </c>
      <c r="Z612" s="1086">
        <v>0</v>
      </c>
      <c r="AA612" s="1086">
        <v>0</v>
      </c>
      <c r="AB612" s="1086">
        <v>0</v>
      </c>
      <c r="AC612" s="1086">
        <v>22127.45</v>
      </c>
      <c r="AD612" s="1086" t="s">
        <v>248</v>
      </c>
      <c r="AE612" s="1086" t="s">
        <v>3883</v>
      </c>
      <c r="AF612" s="1086">
        <f t="shared" si="37"/>
        <v>22127.45</v>
      </c>
      <c r="AG612" s="1086">
        <f t="shared" si="36"/>
        <v>0</v>
      </c>
      <c r="AQ612" s="1086">
        <v>0</v>
      </c>
      <c r="AR612" s="1086">
        <v>0</v>
      </c>
      <c r="AS612" s="1086">
        <v>22127.45</v>
      </c>
      <c r="AT612" s="1086">
        <f t="shared" si="38"/>
        <v>0</v>
      </c>
      <c r="AV612" s="1150">
        <f t="shared" si="39"/>
        <v>201.16</v>
      </c>
    </row>
    <row r="613" spans="1:48" x14ac:dyDescent="0.2">
      <c r="A613" s="19">
        <v>625</v>
      </c>
      <c r="B613" t="s">
        <v>1913</v>
      </c>
      <c r="C613" t="s">
        <v>2076</v>
      </c>
      <c r="D613" t="s">
        <v>1059</v>
      </c>
      <c r="E613" t="s">
        <v>2124</v>
      </c>
      <c r="F613" t="s">
        <v>2321</v>
      </c>
      <c r="G613" t="s">
        <v>1250</v>
      </c>
      <c r="H613" t="s">
        <v>3822</v>
      </c>
      <c r="I613" t="s">
        <v>3846</v>
      </c>
      <c r="J613" t="s">
        <v>3257</v>
      </c>
      <c r="K613" t="s">
        <v>3691</v>
      </c>
      <c r="L613" t="s">
        <v>3118</v>
      </c>
      <c r="M613" s="1086">
        <v>76358.22</v>
      </c>
      <c r="N613" s="1086">
        <v>0</v>
      </c>
      <c r="O613" s="1086">
        <v>0</v>
      </c>
      <c r="P613" s="1086">
        <v>0</v>
      </c>
      <c r="Q613" s="1086">
        <v>0</v>
      </c>
      <c r="R613" s="1086">
        <v>0</v>
      </c>
      <c r="S613" s="1086">
        <v>0</v>
      </c>
      <c r="T613" s="1086">
        <v>0</v>
      </c>
      <c r="U613" s="1086">
        <v>225.8</v>
      </c>
      <c r="V613" s="1086">
        <v>0</v>
      </c>
      <c r="W613" s="1086">
        <v>0</v>
      </c>
      <c r="X613" s="1086">
        <v>2386.69</v>
      </c>
      <c r="Y613" s="1086">
        <v>0</v>
      </c>
      <c r="Z613" s="1086">
        <v>0</v>
      </c>
      <c r="AA613" s="1086">
        <v>0</v>
      </c>
      <c r="AB613" s="1086">
        <v>0</v>
      </c>
      <c r="AC613" s="1086">
        <v>73745.73</v>
      </c>
      <c r="AD613" s="1086" t="s">
        <v>248</v>
      </c>
      <c r="AE613" s="1086" t="s">
        <v>3883</v>
      </c>
      <c r="AF613" s="1086">
        <f t="shared" si="37"/>
        <v>73745.73</v>
      </c>
      <c r="AG613" s="1086">
        <f t="shared" si="36"/>
        <v>0</v>
      </c>
      <c r="AQ613" s="1086">
        <v>0</v>
      </c>
      <c r="AR613" s="1086">
        <v>0</v>
      </c>
      <c r="AS613" s="1086">
        <v>73745.73</v>
      </c>
      <c r="AT613" s="1086">
        <f t="shared" si="38"/>
        <v>0</v>
      </c>
      <c r="AV613" s="1150">
        <f t="shared" si="39"/>
        <v>2612.4900000000002</v>
      </c>
    </row>
    <row r="614" spans="1:48" x14ac:dyDescent="0.2">
      <c r="A614" s="19">
        <v>626</v>
      </c>
      <c r="B614" t="s">
        <v>1914</v>
      </c>
      <c r="C614" t="s">
        <v>2076</v>
      </c>
      <c r="D614" t="s">
        <v>1059</v>
      </c>
      <c r="E614" t="s">
        <v>2124</v>
      </c>
      <c r="F614" t="s">
        <v>2321</v>
      </c>
      <c r="G614" t="s">
        <v>1250</v>
      </c>
      <c r="H614" t="s">
        <v>3823</v>
      </c>
      <c r="I614" t="s">
        <v>3251</v>
      </c>
      <c r="J614" t="s">
        <v>3251</v>
      </c>
      <c r="K614" t="s">
        <v>3251</v>
      </c>
      <c r="L614" t="s">
        <v>3119</v>
      </c>
      <c r="M614" s="1086">
        <v>240293.72</v>
      </c>
      <c r="N614" s="1086">
        <v>311150</v>
      </c>
      <c r="O614" s="1086">
        <v>0</v>
      </c>
      <c r="P614" s="1086">
        <v>83218.100000000006</v>
      </c>
      <c r="Q614" s="1086">
        <v>0</v>
      </c>
      <c r="R614" s="1086">
        <v>0</v>
      </c>
      <c r="S614" s="1086">
        <v>0</v>
      </c>
      <c r="T614" s="1086">
        <v>24264.880000000001</v>
      </c>
      <c r="U614" s="1086">
        <v>21281.18</v>
      </c>
      <c r="V614" s="1086">
        <v>0</v>
      </c>
      <c r="W614" s="1086">
        <v>0</v>
      </c>
      <c r="X614" s="1086">
        <v>0</v>
      </c>
      <c r="Y614" s="1086">
        <v>0</v>
      </c>
      <c r="Z614" s="1086">
        <v>0</v>
      </c>
      <c r="AA614" s="1086">
        <v>0</v>
      </c>
      <c r="AB614" s="1086">
        <v>0</v>
      </c>
      <c r="AC614" s="1086">
        <v>422679.56</v>
      </c>
      <c r="AD614" s="1086" t="s">
        <v>248</v>
      </c>
      <c r="AE614" s="1086" t="s">
        <v>3883</v>
      </c>
      <c r="AF614" s="1086">
        <f t="shared" si="37"/>
        <v>422679.55999999994</v>
      </c>
      <c r="AG614" s="1086">
        <f t="shared" si="36"/>
        <v>0</v>
      </c>
      <c r="AQ614" s="1086">
        <v>0</v>
      </c>
      <c r="AR614" s="1086">
        <v>0</v>
      </c>
      <c r="AS614" s="1086">
        <v>422679.56</v>
      </c>
      <c r="AT614" s="1086">
        <f t="shared" si="38"/>
        <v>0</v>
      </c>
      <c r="AV614" s="1150">
        <f t="shared" si="39"/>
        <v>128764.16</v>
      </c>
    </row>
    <row r="615" spans="1:48" x14ac:dyDescent="0.2">
      <c r="A615" s="19">
        <v>627</v>
      </c>
      <c r="B615" t="s">
        <v>1915</v>
      </c>
      <c r="C615" t="s">
        <v>2076</v>
      </c>
      <c r="D615" t="s">
        <v>1034</v>
      </c>
      <c r="E615" t="s">
        <v>2126</v>
      </c>
      <c r="F615" t="s">
        <v>2323</v>
      </c>
      <c r="G615" t="s">
        <v>3833</v>
      </c>
      <c r="H615" t="s">
        <v>3825</v>
      </c>
      <c r="I615" t="s">
        <v>3846</v>
      </c>
      <c r="J615" t="s">
        <v>3343</v>
      </c>
      <c r="K615" t="s">
        <v>3692</v>
      </c>
      <c r="L615" t="s">
        <v>3120</v>
      </c>
      <c r="M615" s="1086">
        <v>203572.28</v>
      </c>
      <c r="N615" s="1086">
        <v>1558870.56</v>
      </c>
      <c r="O615" s="1086">
        <v>0</v>
      </c>
      <c r="P615" s="1086">
        <v>582453.99</v>
      </c>
      <c r="Q615" s="1086">
        <v>0</v>
      </c>
      <c r="R615" s="1086">
        <v>0</v>
      </c>
      <c r="S615" s="1086">
        <v>52780.5</v>
      </c>
      <c r="T615" s="1086">
        <v>66294.759999999995</v>
      </c>
      <c r="U615" s="1086">
        <v>621435.66</v>
      </c>
      <c r="V615" s="1086">
        <v>0</v>
      </c>
      <c r="W615" s="1086">
        <v>166427.42000000001</v>
      </c>
      <c r="X615" s="1086">
        <v>29195.99</v>
      </c>
      <c r="Y615" s="1086">
        <v>0</v>
      </c>
      <c r="Z615" s="1086">
        <v>0</v>
      </c>
      <c r="AA615" s="1086">
        <v>0</v>
      </c>
      <c r="AB615" s="1086">
        <v>0</v>
      </c>
      <c r="AC615" s="1086">
        <v>243854.52</v>
      </c>
      <c r="AD615" s="1103" t="s">
        <v>1251</v>
      </c>
      <c r="AE615" s="1086" t="s">
        <v>3885</v>
      </c>
      <c r="AF615" s="1086">
        <f t="shared" si="37"/>
        <v>243854.52000000002</v>
      </c>
      <c r="AG615" s="1086">
        <f t="shared" si="36"/>
        <v>0</v>
      </c>
      <c r="AQ615" s="1086">
        <v>0</v>
      </c>
      <c r="AR615" s="1086">
        <v>0</v>
      </c>
      <c r="AS615" s="1086">
        <v>243854.52</v>
      </c>
      <c r="AT615" s="1086">
        <f t="shared" si="38"/>
        <v>0</v>
      </c>
      <c r="AV615" s="1150">
        <f t="shared" si="39"/>
        <v>1518588.32</v>
      </c>
    </row>
    <row r="616" spans="1:48" x14ac:dyDescent="0.2">
      <c r="A616" s="19">
        <v>628</v>
      </c>
      <c r="B616" t="s">
        <v>1916</v>
      </c>
      <c r="C616" t="s">
        <v>2076</v>
      </c>
      <c r="D616" t="s">
        <v>1034</v>
      </c>
      <c r="E616" t="s">
        <v>2265</v>
      </c>
      <c r="F616" t="s">
        <v>2458</v>
      </c>
      <c r="G616" t="s">
        <v>3833</v>
      </c>
      <c r="H616" t="s">
        <v>3825</v>
      </c>
      <c r="I616" t="s">
        <v>3846</v>
      </c>
      <c r="J616" t="s">
        <v>3343</v>
      </c>
      <c r="K616" t="s">
        <v>3693</v>
      </c>
      <c r="L616" t="s">
        <v>3121</v>
      </c>
      <c r="M616" s="1086">
        <v>66907.850000000006</v>
      </c>
      <c r="N616" s="1086">
        <v>167428.15</v>
      </c>
      <c r="O616" s="1086">
        <v>0</v>
      </c>
      <c r="P616" s="1086">
        <v>120189.79</v>
      </c>
      <c r="Q616" s="1086">
        <v>0</v>
      </c>
      <c r="R616" s="1086">
        <v>0</v>
      </c>
      <c r="S616" s="1086">
        <v>15134.4</v>
      </c>
      <c r="T616" s="1086">
        <v>27302.45</v>
      </c>
      <c r="U616" s="1086">
        <v>29881.27</v>
      </c>
      <c r="V616" s="1086">
        <v>0</v>
      </c>
      <c r="W616" s="1086">
        <v>1215.23</v>
      </c>
      <c r="X616" s="1086">
        <v>2351.2800000000002</v>
      </c>
      <c r="Y616" s="1086">
        <v>0</v>
      </c>
      <c r="Z616" s="1086">
        <v>0</v>
      </c>
      <c r="AA616" s="1086">
        <v>0</v>
      </c>
      <c r="AB616" s="1086">
        <v>0</v>
      </c>
      <c r="AC616" s="1086">
        <v>38261.58</v>
      </c>
      <c r="AD616" s="1103" t="s">
        <v>1251</v>
      </c>
      <c r="AE616" s="1086" t="s">
        <v>3885</v>
      </c>
      <c r="AF616" s="1086">
        <f t="shared" si="37"/>
        <v>38261.579999999987</v>
      </c>
      <c r="AG616" s="1086">
        <f t="shared" si="36"/>
        <v>0</v>
      </c>
      <c r="AQ616" s="1086">
        <v>0</v>
      </c>
      <c r="AR616" s="1086">
        <v>0</v>
      </c>
      <c r="AS616" s="1086">
        <v>38261.58</v>
      </c>
      <c r="AT616" s="1086">
        <f t="shared" si="38"/>
        <v>0</v>
      </c>
      <c r="AV616" s="1150">
        <f t="shared" si="39"/>
        <v>196074.42</v>
      </c>
    </row>
    <row r="617" spans="1:48" x14ac:dyDescent="0.2">
      <c r="A617" s="19">
        <v>629</v>
      </c>
      <c r="B617" t="s">
        <v>1917</v>
      </c>
      <c r="C617" t="s">
        <v>2076</v>
      </c>
      <c r="D617" t="s">
        <v>1034</v>
      </c>
      <c r="E617" t="s">
        <v>2265</v>
      </c>
      <c r="F617" t="s">
        <v>2458</v>
      </c>
      <c r="G617" t="s">
        <v>3833</v>
      </c>
      <c r="H617" t="s">
        <v>3824</v>
      </c>
      <c r="I617" t="s">
        <v>3251</v>
      </c>
      <c r="J617" t="s">
        <v>3251</v>
      </c>
      <c r="K617" t="s">
        <v>3251</v>
      </c>
      <c r="L617" t="s">
        <v>3122</v>
      </c>
      <c r="M617" s="1086">
        <v>8423.52</v>
      </c>
      <c r="N617" s="1086">
        <v>50000</v>
      </c>
      <c r="O617" s="1086">
        <v>0</v>
      </c>
      <c r="P617" s="1086">
        <v>27380.880000000001</v>
      </c>
      <c r="Q617" s="1086">
        <v>0</v>
      </c>
      <c r="R617" s="1086">
        <v>0</v>
      </c>
      <c r="S617" s="1086">
        <v>0</v>
      </c>
      <c r="T617" s="1086">
        <v>7234.73</v>
      </c>
      <c r="U617" s="1086">
        <v>2318.8000000000002</v>
      </c>
      <c r="V617" s="1086">
        <v>0</v>
      </c>
      <c r="W617" s="1086">
        <v>0</v>
      </c>
      <c r="X617" s="1086">
        <v>2579.4899999999998</v>
      </c>
      <c r="Y617" s="1086">
        <v>0</v>
      </c>
      <c r="Z617" s="1086">
        <v>0</v>
      </c>
      <c r="AA617" s="1086">
        <v>0</v>
      </c>
      <c r="AB617" s="1086">
        <v>0</v>
      </c>
      <c r="AC617" s="1086">
        <v>18909.62</v>
      </c>
      <c r="AD617" s="1103" t="s">
        <v>1251</v>
      </c>
      <c r="AE617" s="1086" t="s">
        <v>3885</v>
      </c>
      <c r="AF617" s="1086">
        <f t="shared" si="37"/>
        <v>18909.620000000003</v>
      </c>
      <c r="AG617" s="1086">
        <f t="shared" si="36"/>
        <v>0</v>
      </c>
      <c r="AQ617" s="1086">
        <v>0</v>
      </c>
      <c r="AR617" s="1086">
        <v>0</v>
      </c>
      <c r="AS617" s="1086">
        <v>18909.62</v>
      </c>
      <c r="AT617" s="1086">
        <f t="shared" si="38"/>
        <v>0</v>
      </c>
      <c r="AV617" s="1150">
        <f t="shared" si="39"/>
        <v>39513.9</v>
      </c>
    </row>
    <row r="618" spans="1:48" x14ac:dyDescent="0.2">
      <c r="A618" s="19">
        <v>630</v>
      </c>
      <c r="B618" t="s">
        <v>1918</v>
      </c>
      <c r="C618" t="s">
        <v>2076</v>
      </c>
      <c r="D618" t="s">
        <v>1034</v>
      </c>
      <c r="E618" t="s">
        <v>2265</v>
      </c>
      <c r="F618" t="s">
        <v>2458</v>
      </c>
      <c r="G618" t="s">
        <v>3833</v>
      </c>
      <c r="H618" t="s">
        <v>3824</v>
      </c>
      <c r="I618" t="s">
        <v>3251</v>
      </c>
      <c r="J618" t="s">
        <v>3251</v>
      </c>
      <c r="K618" t="s">
        <v>3251</v>
      </c>
      <c r="L618" t="s">
        <v>3123</v>
      </c>
      <c r="M618" s="1086">
        <v>7584.76</v>
      </c>
      <c r="N618" s="1086">
        <v>49000</v>
      </c>
      <c r="O618" s="1086">
        <v>0</v>
      </c>
      <c r="P618" s="1086">
        <v>23320.93</v>
      </c>
      <c r="Q618" s="1086">
        <v>0</v>
      </c>
      <c r="R618" s="1086">
        <v>0</v>
      </c>
      <c r="S618" s="1086">
        <v>0</v>
      </c>
      <c r="T618" s="1086">
        <v>7591.68</v>
      </c>
      <c r="U618" s="1086">
        <v>37.85</v>
      </c>
      <c r="V618" s="1086">
        <v>0</v>
      </c>
      <c r="W618" s="1086">
        <v>0</v>
      </c>
      <c r="X618" s="1086">
        <v>0</v>
      </c>
      <c r="Y618" s="1086">
        <v>0</v>
      </c>
      <c r="Z618" s="1086">
        <v>0</v>
      </c>
      <c r="AA618" s="1086">
        <v>0</v>
      </c>
      <c r="AB618" s="1086">
        <v>0</v>
      </c>
      <c r="AC618" s="1086">
        <v>25634.3</v>
      </c>
      <c r="AD618" s="1103" t="s">
        <v>1251</v>
      </c>
      <c r="AE618" s="1086" t="s">
        <v>3885</v>
      </c>
      <c r="AF618" s="1086">
        <f t="shared" si="37"/>
        <v>25634.300000000003</v>
      </c>
      <c r="AG618" s="1086">
        <f t="shared" si="36"/>
        <v>0</v>
      </c>
      <c r="AQ618" s="1086">
        <v>0</v>
      </c>
      <c r="AR618" s="1086">
        <v>0</v>
      </c>
      <c r="AS618" s="1086">
        <v>25634.3</v>
      </c>
      <c r="AT618" s="1086">
        <f t="shared" si="38"/>
        <v>0</v>
      </c>
      <c r="AV618" s="1150">
        <f t="shared" si="39"/>
        <v>30950.46</v>
      </c>
    </row>
    <row r="619" spans="1:48" x14ac:dyDescent="0.2">
      <c r="A619" s="19">
        <v>631</v>
      </c>
      <c r="B619" t="s">
        <v>1919</v>
      </c>
      <c r="C619" t="s">
        <v>2076</v>
      </c>
      <c r="D619" t="s">
        <v>1034</v>
      </c>
      <c r="E619" t="s">
        <v>2265</v>
      </c>
      <c r="F619" t="s">
        <v>2458</v>
      </c>
      <c r="G619" t="s">
        <v>3833</v>
      </c>
      <c r="H619" t="s">
        <v>3824</v>
      </c>
      <c r="I619" t="s">
        <v>3251</v>
      </c>
      <c r="J619" t="s">
        <v>3251</v>
      </c>
      <c r="K619" t="s">
        <v>3251</v>
      </c>
      <c r="L619" t="s">
        <v>3124</v>
      </c>
      <c r="M619" s="1086">
        <v>28271.21</v>
      </c>
      <c r="N619" s="1086">
        <v>49000</v>
      </c>
      <c r="O619" s="1086">
        <v>0</v>
      </c>
      <c r="P619" s="1086">
        <v>23271.58</v>
      </c>
      <c r="Q619" s="1086">
        <v>0</v>
      </c>
      <c r="R619" s="1086">
        <v>0</v>
      </c>
      <c r="S619" s="1086">
        <v>0</v>
      </c>
      <c r="T619" s="1086">
        <v>7627.85</v>
      </c>
      <c r="U619" s="1086">
        <v>509.3</v>
      </c>
      <c r="V619" s="1086">
        <v>0</v>
      </c>
      <c r="W619" s="1086">
        <v>0</v>
      </c>
      <c r="X619" s="1086">
        <v>2069.9</v>
      </c>
      <c r="Y619" s="1086">
        <v>0</v>
      </c>
      <c r="Z619" s="1086">
        <v>0</v>
      </c>
      <c r="AA619" s="1086">
        <v>0</v>
      </c>
      <c r="AB619" s="1086">
        <v>0</v>
      </c>
      <c r="AC619" s="1086">
        <v>43792.58</v>
      </c>
      <c r="AD619" s="1103" t="s">
        <v>1251</v>
      </c>
      <c r="AE619" s="1086" t="s">
        <v>3885</v>
      </c>
      <c r="AF619" s="1086">
        <f t="shared" si="37"/>
        <v>43792.579999999994</v>
      </c>
      <c r="AG619" s="1086">
        <f t="shared" si="36"/>
        <v>0</v>
      </c>
      <c r="AQ619" s="1086">
        <v>0</v>
      </c>
      <c r="AR619" s="1086">
        <v>0</v>
      </c>
      <c r="AS619" s="1086">
        <v>43792.58</v>
      </c>
      <c r="AT619" s="1086">
        <f t="shared" si="38"/>
        <v>0</v>
      </c>
      <c r="AV619" s="1150">
        <f t="shared" si="39"/>
        <v>33478.629999999997</v>
      </c>
    </row>
    <row r="620" spans="1:48" x14ac:dyDescent="0.2">
      <c r="A620" s="19">
        <v>632</v>
      </c>
      <c r="B620" t="s">
        <v>1920</v>
      </c>
      <c r="C620" t="s">
        <v>2076</v>
      </c>
      <c r="D620" t="s">
        <v>1062</v>
      </c>
      <c r="E620" t="s">
        <v>2129</v>
      </c>
      <c r="F620" t="s">
        <v>2326</v>
      </c>
      <c r="G620" t="s">
        <v>1249</v>
      </c>
      <c r="H620" t="s">
        <v>3827</v>
      </c>
      <c r="I620">
        <v>0</v>
      </c>
      <c r="L620" t="s">
        <v>3125</v>
      </c>
      <c r="M620" s="1086">
        <v>1353431.91</v>
      </c>
      <c r="N620" s="1086">
        <v>0</v>
      </c>
      <c r="O620" s="1086">
        <v>10458.280000000001</v>
      </c>
      <c r="P620" s="1086">
        <v>1035824.29</v>
      </c>
      <c r="Q620" s="1086">
        <v>0</v>
      </c>
      <c r="R620" s="1086">
        <v>252508.66</v>
      </c>
      <c r="S620" s="1086">
        <v>72003.520000000004</v>
      </c>
      <c r="T620" s="1086">
        <v>402113.85</v>
      </c>
      <c r="U620" s="1086">
        <v>80436.58</v>
      </c>
      <c r="V620" s="1086">
        <v>0</v>
      </c>
      <c r="W620" s="1086">
        <v>0</v>
      </c>
      <c r="X620" s="1086">
        <v>0</v>
      </c>
      <c r="Y620" s="1086">
        <v>0</v>
      </c>
      <c r="Z620" s="1086">
        <v>0</v>
      </c>
      <c r="AA620" s="1086">
        <v>0</v>
      </c>
      <c r="AB620" s="1086">
        <v>0</v>
      </c>
      <c r="AC620" s="1086">
        <v>-478996.71</v>
      </c>
      <c r="AD620" s="1086" t="s">
        <v>248</v>
      </c>
      <c r="AE620" s="1086" t="s">
        <v>3883</v>
      </c>
      <c r="AF620" s="1086">
        <f t="shared" si="37"/>
        <v>-478996.70999999996</v>
      </c>
      <c r="AG620" s="1086">
        <f t="shared" si="36"/>
        <v>0</v>
      </c>
      <c r="AQ620" s="1086">
        <v>0</v>
      </c>
      <c r="AR620" s="1086">
        <v>0</v>
      </c>
      <c r="AS620" s="1086">
        <v>-478996.71</v>
      </c>
      <c r="AT620" s="1086">
        <f t="shared" si="38"/>
        <v>0</v>
      </c>
      <c r="AV620" s="1150">
        <f t="shared" si="39"/>
        <v>1842886.9</v>
      </c>
    </row>
    <row r="621" spans="1:48" x14ac:dyDescent="0.2">
      <c r="A621" s="19">
        <v>633</v>
      </c>
      <c r="B621" t="s">
        <v>1921</v>
      </c>
      <c r="C621" t="s">
        <v>2076</v>
      </c>
      <c r="D621" t="s">
        <v>1062</v>
      </c>
      <c r="E621" t="s">
        <v>2129</v>
      </c>
      <c r="F621" t="s">
        <v>2326</v>
      </c>
      <c r="G621" t="s">
        <v>1249</v>
      </c>
      <c r="H621" t="s">
        <v>3827</v>
      </c>
      <c r="I621">
        <v>0</v>
      </c>
      <c r="L621" t="s">
        <v>3126</v>
      </c>
      <c r="M621" s="1086">
        <v>21814.53</v>
      </c>
      <c r="N621" s="1086">
        <v>0</v>
      </c>
      <c r="O621" s="1086">
        <v>0</v>
      </c>
      <c r="P621" s="1086">
        <v>17239.66</v>
      </c>
      <c r="Q621" s="1086">
        <v>0</v>
      </c>
      <c r="R621" s="1086">
        <v>0</v>
      </c>
      <c r="S621" s="1086">
        <v>0</v>
      </c>
      <c r="T621" s="1086">
        <v>0</v>
      </c>
      <c r="U621" s="1086">
        <v>0</v>
      </c>
      <c r="V621" s="1086">
        <v>0</v>
      </c>
      <c r="W621" s="1086">
        <v>0</v>
      </c>
      <c r="X621" s="1086">
        <v>0</v>
      </c>
      <c r="Y621" s="1086">
        <v>0</v>
      </c>
      <c r="Z621" s="1086">
        <v>0</v>
      </c>
      <c r="AA621" s="1086">
        <v>0</v>
      </c>
      <c r="AB621" s="1086">
        <v>0</v>
      </c>
      <c r="AC621" s="1086">
        <v>4574.87</v>
      </c>
      <c r="AD621" s="1086" t="s">
        <v>248</v>
      </c>
      <c r="AE621" s="1086" t="s">
        <v>3883</v>
      </c>
      <c r="AF621" s="1086">
        <f t="shared" si="37"/>
        <v>4574.869999999999</v>
      </c>
      <c r="AG621" s="1086">
        <f t="shared" si="36"/>
        <v>0</v>
      </c>
      <c r="AQ621" s="1086">
        <v>0</v>
      </c>
      <c r="AR621" s="1086">
        <v>0</v>
      </c>
      <c r="AS621" s="1086">
        <v>4574.87</v>
      </c>
      <c r="AT621" s="1086">
        <f t="shared" si="38"/>
        <v>0</v>
      </c>
      <c r="AV621" s="1150">
        <f t="shared" si="39"/>
        <v>17239.66</v>
      </c>
    </row>
    <row r="622" spans="1:48" x14ac:dyDescent="0.2">
      <c r="A622" s="19">
        <v>634</v>
      </c>
      <c r="B622" t="s">
        <v>1922</v>
      </c>
      <c r="C622" t="s">
        <v>2076</v>
      </c>
      <c r="D622" t="s">
        <v>1036</v>
      </c>
      <c r="E622" t="s">
        <v>2130</v>
      </c>
      <c r="F622" t="s">
        <v>2327</v>
      </c>
      <c r="G622" t="s">
        <v>1250</v>
      </c>
      <c r="H622" t="s">
        <v>3822</v>
      </c>
      <c r="I622" t="s">
        <v>3846</v>
      </c>
      <c r="J622" t="s">
        <v>3263</v>
      </c>
      <c r="K622" t="s">
        <v>3694</v>
      </c>
      <c r="L622" t="s">
        <v>3127</v>
      </c>
      <c r="M622" s="1086">
        <v>247584.3</v>
      </c>
      <c r="N622" s="1086">
        <v>200000</v>
      </c>
      <c r="O622" s="1086">
        <v>0</v>
      </c>
      <c r="P622" s="1086">
        <v>134711.96</v>
      </c>
      <c r="Q622" s="1086">
        <v>0</v>
      </c>
      <c r="R622" s="1086">
        <v>0</v>
      </c>
      <c r="S622" s="1086">
        <v>6754</v>
      </c>
      <c r="T622" s="1086">
        <v>44329.4</v>
      </c>
      <c r="U622" s="1086">
        <v>77183.75</v>
      </c>
      <c r="V622" s="1086">
        <v>0</v>
      </c>
      <c r="W622" s="1086">
        <v>37.67</v>
      </c>
      <c r="X622" s="1086">
        <v>3400.8</v>
      </c>
      <c r="Y622" s="1086">
        <v>0</v>
      </c>
      <c r="Z622" s="1086">
        <v>0</v>
      </c>
      <c r="AA622" s="1086">
        <v>0</v>
      </c>
      <c r="AB622" s="1086">
        <v>0</v>
      </c>
      <c r="AC622" s="1086">
        <v>181166.72</v>
      </c>
      <c r="AD622" s="1086" t="s">
        <v>248</v>
      </c>
      <c r="AE622" s="1086" t="s">
        <v>3883</v>
      </c>
      <c r="AF622" s="1086">
        <f t="shared" si="37"/>
        <v>181166.72000000003</v>
      </c>
      <c r="AG622" s="1086">
        <f t="shared" si="36"/>
        <v>0</v>
      </c>
      <c r="AQ622" s="1086">
        <v>0</v>
      </c>
      <c r="AR622" s="1086">
        <v>0</v>
      </c>
      <c r="AS622" s="1086">
        <v>181166.72</v>
      </c>
      <c r="AT622" s="1086">
        <f t="shared" si="38"/>
        <v>0</v>
      </c>
      <c r="AV622" s="1150">
        <f t="shared" si="39"/>
        <v>266417.57999999996</v>
      </c>
    </row>
    <row r="623" spans="1:48" x14ac:dyDescent="0.2">
      <c r="A623" s="19">
        <v>635</v>
      </c>
      <c r="B623" t="s">
        <v>1923</v>
      </c>
      <c r="C623" t="s">
        <v>2076</v>
      </c>
      <c r="D623" t="s">
        <v>1039</v>
      </c>
      <c r="E623" t="s">
        <v>2132</v>
      </c>
      <c r="F623" t="s">
        <v>2329</v>
      </c>
      <c r="G623" t="s">
        <v>1250</v>
      </c>
      <c r="H623" t="s">
        <v>3825</v>
      </c>
      <c r="I623">
        <v>0</v>
      </c>
      <c r="L623" t="s">
        <v>3128</v>
      </c>
      <c r="M623" s="1086">
        <v>42.22</v>
      </c>
      <c r="N623" s="1086">
        <v>0</v>
      </c>
      <c r="O623" s="1086">
        <v>0</v>
      </c>
      <c r="P623" s="1086">
        <v>0</v>
      </c>
      <c r="Q623" s="1086">
        <v>0</v>
      </c>
      <c r="R623" s="1086">
        <v>0</v>
      </c>
      <c r="S623" s="1086">
        <v>0</v>
      </c>
      <c r="T623" s="1086">
        <v>-4455.92</v>
      </c>
      <c r="U623" s="1086">
        <v>146.54</v>
      </c>
      <c r="V623" s="1086">
        <v>0</v>
      </c>
      <c r="W623" s="1086">
        <v>0</v>
      </c>
      <c r="X623" s="1086">
        <v>4351.6000000000004</v>
      </c>
      <c r="Y623" s="1086">
        <v>0</v>
      </c>
      <c r="Z623" s="1086">
        <v>0</v>
      </c>
      <c r="AA623" s="1086">
        <v>0</v>
      </c>
      <c r="AB623" s="1086">
        <v>0</v>
      </c>
      <c r="AC623" s="1086">
        <v>0</v>
      </c>
      <c r="AD623" s="1086" t="s">
        <v>248</v>
      </c>
      <c r="AE623" s="1086" t="s">
        <v>3883</v>
      </c>
      <c r="AF623" s="1086">
        <f t="shared" si="37"/>
        <v>-2.5579538487363607E-13</v>
      </c>
      <c r="AG623" s="1086">
        <f t="shared" si="36"/>
        <v>2.5579538487363607E-13</v>
      </c>
      <c r="AQ623" s="1086">
        <v>0</v>
      </c>
      <c r="AR623" s="1086">
        <v>0</v>
      </c>
      <c r="AS623" s="1086">
        <v>0</v>
      </c>
      <c r="AT623" s="1086">
        <f t="shared" si="38"/>
        <v>0</v>
      </c>
      <c r="AV623" s="1150">
        <f t="shared" si="39"/>
        <v>42.220000000000255</v>
      </c>
    </row>
    <row r="624" spans="1:48" x14ac:dyDescent="0.2">
      <c r="A624" s="19">
        <v>636</v>
      </c>
      <c r="B624" t="s">
        <v>1924</v>
      </c>
      <c r="C624" t="s">
        <v>2076</v>
      </c>
      <c r="D624" t="s">
        <v>1039</v>
      </c>
      <c r="E624" t="s">
        <v>2132</v>
      </c>
      <c r="F624" t="s">
        <v>2329</v>
      </c>
      <c r="G624" t="s">
        <v>1250</v>
      </c>
      <c r="H624" t="s">
        <v>3825</v>
      </c>
      <c r="I624" t="s">
        <v>3846</v>
      </c>
      <c r="J624" t="s">
        <v>3266</v>
      </c>
      <c r="K624" t="s">
        <v>3695</v>
      </c>
      <c r="L624" t="s">
        <v>3129</v>
      </c>
      <c r="M624" s="1086">
        <v>-1250.46</v>
      </c>
      <c r="N624" s="1086">
        <v>2541.1999999999998</v>
      </c>
      <c r="O624" s="1086">
        <v>0</v>
      </c>
      <c r="P624" s="1086">
        <v>0</v>
      </c>
      <c r="Q624" s="1086">
        <v>0</v>
      </c>
      <c r="R624" s="1086">
        <v>0</v>
      </c>
      <c r="S624" s="1086">
        <v>0</v>
      </c>
      <c r="T624" s="1086">
        <v>0</v>
      </c>
      <c r="U624" s="1086">
        <v>435.25</v>
      </c>
      <c r="V624" s="1086">
        <v>0</v>
      </c>
      <c r="W624" s="1086">
        <v>123.56</v>
      </c>
      <c r="X624" s="1086">
        <v>0</v>
      </c>
      <c r="Y624" s="1086">
        <v>0</v>
      </c>
      <c r="Z624" s="1086">
        <v>0</v>
      </c>
      <c r="AA624" s="1086">
        <v>0</v>
      </c>
      <c r="AB624" s="1086">
        <v>0</v>
      </c>
      <c r="AC624" s="1086">
        <v>731.93</v>
      </c>
      <c r="AD624" s="1086" t="s">
        <v>248</v>
      </c>
      <c r="AE624" s="1086" t="s">
        <v>3883</v>
      </c>
      <c r="AF624" s="1086">
        <f t="shared" si="37"/>
        <v>731.92999999999984</v>
      </c>
      <c r="AG624" s="1086">
        <f t="shared" si="36"/>
        <v>0</v>
      </c>
      <c r="AQ624" s="1086">
        <v>0</v>
      </c>
      <c r="AR624" s="1086">
        <v>0</v>
      </c>
      <c r="AS624" s="1086">
        <v>731.93</v>
      </c>
      <c r="AT624" s="1086">
        <f t="shared" si="38"/>
        <v>0</v>
      </c>
      <c r="AV624" s="1150">
        <f t="shared" si="39"/>
        <v>558.80999999999995</v>
      </c>
    </row>
    <row r="625" spans="1:48" x14ac:dyDescent="0.2">
      <c r="A625" s="19">
        <v>637</v>
      </c>
      <c r="B625" t="s">
        <v>1925</v>
      </c>
      <c r="C625" t="s">
        <v>2076</v>
      </c>
      <c r="D625" t="s">
        <v>1039</v>
      </c>
      <c r="E625" t="s">
        <v>2266</v>
      </c>
      <c r="F625" t="s">
        <v>2459</v>
      </c>
      <c r="G625" t="s">
        <v>1250</v>
      </c>
      <c r="H625" t="s">
        <v>3825</v>
      </c>
      <c r="I625" t="s">
        <v>3846</v>
      </c>
      <c r="J625" t="s">
        <v>3266</v>
      </c>
      <c r="K625" t="s">
        <v>3696</v>
      </c>
      <c r="L625" t="s">
        <v>3130</v>
      </c>
      <c r="M625" s="1086">
        <v>14932.59</v>
      </c>
      <c r="N625" s="1086">
        <v>46795</v>
      </c>
      <c r="O625" s="1086">
        <v>0</v>
      </c>
      <c r="P625" s="1086">
        <v>0</v>
      </c>
      <c r="Q625" s="1086">
        <v>0</v>
      </c>
      <c r="R625" s="1086">
        <v>0</v>
      </c>
      <c r="S625" s="1086">
        <v>0</v>
      </c>
      <c r="T625" s="1086">
        <v>0</v>
      </c>
      <c r="U625" s="1086">
        <v>31973.22</v>
      </c>
      <c r="V625" s="1086">
        <v>0</v>
      </c>
      <c r="W625" s="1086">
        <v>6400.87</v>
      </c>
      <c r="X625" s="1086">
        <v>13595.83</v>
      </c>
      <c r="Y625" s="1086">
        <v>0</v>
      </c>
      <c r="Z625" s="1086">
        <v>0</v>
      </c>
      <c r="AA625" s="1086">
        <v>2975</v>
      </c>
      <c r="AB625" s="1086">
        <v>0</v>
      </c>
      <c r="AC625" s="1086">
        <v>6782.67</v>
      </c>
      <c r="AD625" s="1086" t="s">
        <v>248</v>
      </c>
      <c r="AE625" s="1086" t="s">
        <v>3883</v>
      </c>
      <c r="AF625" s="1086">
        <f t="shared" si="37"/>
        <v>6782.669999999991</v>
      </c>
      <c r="AG625" s="1086">
        <f t="shared" si="36"/>
        <v>9.0949470177292824E-12</v>
      </c>
      <c r="AQ625" s="1086">
        <v>0</v>
      </c>
      <c r="AR625" s="1086">
        <v>0</v>
      </c>
      <c r="AS625" s="1086">
        <v>6782.67</v>
      </c>
      <c r="AT625" s="1086">
        <f t="shared" si="38"/>
        <v>0</v>
      </c>
      <c r="AV625" s="1150">
        <f t="shared" si="39"/>
        <v>54944.920000000006</v>
      </c>
    </row>
    <row r="626" spans="1:48" x14ac:dyDescent="0.2">
      <c r="A626" s="19">
        <v>638</v>
      </c>
      <c r="B626" t="s">
        <v>1926</v>
      </c>
      <c r="C626" t="s">
        <v>2076</v>
      </c>
      <c r="D626" t="s">
        <v>1005</v>
      </c>
      <c r="E626" t="s">
        <v>2133</v>
      </c>
      <c r="F626" t="s">
        <v>2330</v>
      </c>
      <c r="G626" t="s">
        <v>1250</v>
      </c>
      <c r="H626" t="s">
        <v>3824</v>
      </c>
      <c r="I626" t="s">
        <v>3846</v>
      </c>
      <c r="J626" t="s">
        <v>3355</v>
      </c>
      <c r="K626" t="s">
        <v>3697</v>
      </c>
      <c r="L626" t="s">
        <v>3131</v>
      </c>
      <c r="M626" s="1086">
        <v>33089.07</v>
      </c>
      <c r="N626" s="1086">
        <v>50000</v>
      </c>
      <c r="O626" s="1086">
        <v>0</v>
      </c>
      <c r="P626" s="1086">
        <v>0</v>
      </c>
      <c r="Q626" s="1086">
        <v>0</v>
      </c>
      <c r="R626" s="1086">
        <v>0</v>
      </c>
      <c r="S626" s="1086">
        <v>0</v>
      </c>
      <c r="T626" s="1086">
        <v>0</v>
      </c>
      <c r="U626" s="1086">
        <v>33047.64</v>
      </c>
      <c r="V626" s="1086">
        <v>32469.919999999998</v>
      </c>
      <c r="W626" s="1086">
        <v>7111.75</v>
      </c>
      <c r="X626" s="1086">
        <v>0</v>
      </c>
      <c r="Y626" s="1086">
        <v>0</v>
      </c>
      <c r="Z626" s="1086">
        <v>0</v>
      </c>
      <c r="AA626" s="1086">
        <v>0</v>
      </c>
      <c r="AB626" s="1086">
        <v>0</v>
      </c>
      <c r="AC626" s="1086">
        <v>10459.76</v>
      </c>
      <c r="AD626" s="1086" t="s">
        <v>248</v>
      </c>
      <c r="AE626" s="1086" t="s">
        <v>3883</v>
      </c>
      <c r="AF626" s="1086">
        <f t="shared" si="37"/>
        <v>10459.760000000009</v>
      </c>
      <c r="AG626" s="1086">
        <f t="shared" si="36"/>
        <v>0</v>
      </c>
      <c r="AQ626" s="1086">
        <v>0</v>
      </c>
      <c r="AR626" s="1086">
        <v>0</v>
      </c>
      <c r="AS626" s="1086">
        <v>10459.76</v>
      </c>
      <c r="AT626" s="1086">
        <f t="shared" si="38"/>
        <v>0</v>
      </c>
      <c r="AV626" s="1150">
        <f t="shared" si="39"/>
        <v>72629.31</v>
      </c>
    </row>
    <row r="627" spans="1:48" x14ac:dyDescent="0.2">
      <c r="A627" s="19">
        <v>639</v>
      </c>
      <c r="B627" t="s">
        <v>1927</v>
      </c>
      <c r="C627" t="s">
        <v>2076</v>
      </c>
      <c r="D627" t="s">
        <v>1005</v>
      </c>
      <c r="E627" t="s">
        <v>2133</v>
      </c>
      <c r="F627" t="s">
        <v>2330</v>
      </c>
      <c r="G627" t="s">
        <v>1250</v>
      </c>
      <c r="H627" t="s">
        <v>3825</v>
      </c>
      <c r="I627" t="s">
        <v>3846</v>
      </c>
      <c r="J627" t="s">
        <v>3355</v>
      </c>
      <c r="K627" t="s">
        <v>3698</v>
      </c>
      <c r="L627" t="s">
        <v>3132</v>
      </c>
      <c r="M627" s="1086">
        <v>17585.240000000002</v>
      </c>
      <c r="N627" s="1086">
        <v>1805.8</v>
      </c>
      <c r="O627" s="1086">
        <v>0</v>
      </c>
      <c r="P627" s="1086">
        <v>0</v>
      </c>
      <c r="Q627" s="1086">
        <v>0</v>
      </c>
      <c r="R627" s="1086">
        <v>0</v>
      </c>
      <c r="S627" s="1086">
        <v>0</v>
      </c>
      <c r="T627" s="1086">
        <v>0</v>
      </c>
      <c r="U627" s="1086">
        <v>611.91</v>
      </c>
      <c r="V627" s="1086">
        <v>0</v>
      </c>
      <c r="W627" s="1086">
        <v>3411.6</v>
      </c>
      <c r="X627" s="1086">
        <v>0</v>
      </c>
      <c r="Y627" s="1086">
        <v>0</v>
      </c>
      <c r="Z627" s="1086">
        <v>0</v>
      </c>
      <c r="AA627" s="1086">
        <v>0</v>
      </c>
      <c r="AB627" s="1086">
        <v>0</v>
      </c>
      <c r="AC627" s="1086">
        <v>15367.53</v>
      </c>
      <c r="AD627" s="1086" t="s">
        <v>248</v>
      </c>
      <c r="AE627" s="1086" t="s">
        <v>3883</v>
      </c>
      <c r="AF627" s="1086">
        <f t="shared" si="37"/>
        <v>15367.53</v>
      </c>
      <c r="AG627" s="1086">
        <f t="shared" si="36"/>
        <v>0</v>
      </c>
      <c r="AQ627" s="1086">
        <v>0</v>
      </c>
      <c r="AR627" s="1086">
        <v>0</v>
      </c>
      <c r="AS627" s="1086">
        <v>15367.53</v>
      </c>
      <c r="AT627" s="1086">
        <f t="shared" si="38"/>
        <v>0</v>
      </c>
      <c r="AV627" s="1150">
        <f t="shared" si="39"/>
        <v>4023.5099999999998</v>
      </c>
    </row>
    <row r="628" spans="1:48" x14ac:dyDescent="0.2">
      <c r="A628" s="19">
        <v>640</v>
      </c>
      <c r="B628" t="s">
        <v>1928</v>
      </c>
      <c r="C628" t="s">
        <v>2076</v>
      </c>
      <c r="D628" t="s">
        <v>1005</v>
      </c>
      <c r="E628" t="s">
        <v>2133</v>
      </c>
      <c r="F628" t="s">
        <v>2330</v>
      </c>
      <c r="G628" t="s">
        <v>1250</v>
      </c>
      <c r="H628" t="s">
        <v>3825</v>
      </c>
      <c r="I628">
        <v>0</v>
      </c>
      <c r="L628" t="s">
        <v>3133</v>
      </c>
      <c r="M628" s="1086">
        <v>5225.7700000000004</v>
      </c>
      <c r="N628" s="1086">
        <v>0</v>
      </c>
      <c r="O628" s="1086">
        <v>0</v>
      </c>
      <c r="P628" s="1086">
        <v>0</v>
      </c>
      <c r="Q628" s="1086">
        <v>0</v>
      </c>
      <c r="R628" s="1086">
        <v>0</v>
      </c>
      <c r="S628" s="1086">
        <v>0</v>
      </c>
      <c r="T628" s="1086">
        <v>0</v>
      </c>
      <c r="U628" s="1086">
        <v>5225.7700000000004</v>
      </c>
      <c r="V628" s="1086">
        <v>0</v>
      </c>
      <c r="W628" s="1086">
        <v>0</v>
      </c>
      <c r="X628" s="1086">
        <v>0</v>
      </c>
      <c r="Y628" s="1086">
        <v>0</v>
      </c>
      <c r="Z628" s="1086">
        <v>0</v>
      </c>
      <c r="AA628" s="1086">
        <v>0</v>
      </c>
      <c r="AB628" s="1086">
        <v>0</v>
      </c>
      <c r="AC628" s="1086">
        <v>0</v>
      </c>
      <c r="AD628" s="1086" t="s">
        <v>248</v>
      </c>
      <c r="AE628" s="1086" t="s">
        <v>3883</v>
      </c>
      <c r="AF628" s="1086">
        <f t="shared" si="37"/>
        <v>0</v>
      </c>
      <c r="AG628" s="1086">
        <f t="shared" si="36"/>
        <v>0</v>
      </c>
      <c r="AQ628" s="1086">
        <v>0</v>
      </c>
      <c r="AR628" s="1086">
        <v>0</v>
      </c>
      <c r="AS628" s="1086">
        <v>0</v>
      </c>
      <c r="AT628" s="1086">
        <f t="shared" si="38"/>
        <v>0</v>
      </c>
      <c r="AV628" s="1150">
        <f t="shared" si="39"/>
        <v>5225.7700000000004</v>
      </c>
    </row>
    <row r="629" spans="1:48" x14ac:dyDescent="0.2">
      <c r="A629" s="19">
        <v>641</v>
      </c>
      <c r="B629" t="s">
        <v>1929</v>
      </c>
      <c r="C629" t="s">
        <v>2076</v>
      </c>
      <c r="D629" t="s">
        <v>1005</v>
      </c>
      <c r="E629" t="s">
        <v>2133</v>
      </c>
      <c r="F629" t="s">
        <v>2330</v>
      </c>
      <c r="G629" t="s">
        <v>1250</v>
      </c>
      <c r="H629" t="s">
        <v>3823</v>
      </c>
      <c r="I629" t="s">
        <v>3846</v>
      </c>
      <c r="J629" t="s">
        <v>3355</v>
      </c>
      <c r="K629" t="s">
        <v>3699</v>
      </c>
      <c r="L629" t="s">
        <v>3134</v>
      </c>
      <c r="M629" s="1086">
        <v>30443.72</v>
      </c>
      <c r="N629" s="1086">
        <v>0</v>
      </c>
      <c r="O629" s="1086">
        <v>0</v>
      </c>
      <c r="P629" s="1086">
        <v>0</v>
      </c>
      <c r="Q629" s="1086">
        <v>9000</v>
      </c>
      <c r="R629" s="1086">
        <v>0</v>
      </c>
      <c r="S629" s="1086">
        <v>0</v>
      </c>
      <c r="T629" s="1086">
        <v>708.5</v>
      </c>
      <c r="U629" s="1086">
        <v>13696.32</v>
      </c>
      <c r="V629" s="1086">
        <v>0</v>
      </c>
      <c r="W629" s="1086">
        <v>0</v>
      </c>
      <c r="X629" s="1086">
        <v>0</v>
      </c>
      <c r="Y629" s="1086">
        <v>0</v>
      </c>
      <c r="Z629" s="1086">
        <v>0</v>
      </c>
      <c r="AA629" s="1086">
        <v>0</v>
      </c>
      <c r="AB629" s="1086">
        <v>0</v>
      </c>
      <c r="AC629" s="1086">
        <v>7038.9</v>
      </c>
      <c r="AD629" s="1086" t="s">
        <v>248</v>
      </c>
      <c r="AE629" s="1086" t="s">
        <v>3883</v>
      </c>
      <c r="AF629" s="1086">
        <f t="shared" si="37"/>
        <v>7038.9000000000015</v>
      </c>
      <c r="AG629" s="1086">
        <f t="shared" si="36"/>
        <v>0</v>
      </c>
      <c r="AQ629" s="1086">
        <v>0</v>
      </c>
      <c r="AR629" s="1086">
        <v>0</v>
      </c>
      <c r="AS629" s="1086">
        <v>7038.9</v>
      </c>
      <c r="AT629" s="1086">
        <f t="shared" si="38"/>
        <v>0</v>
      </c>
      <c r="AV629" s="1150">
        <f t="shared" si="39"/>
        <v>23404.82</v>
      </c>
    </row>
    <row r="630" spans="1:48" x14ac:dyDescent="0.2">
      <c r="A630" s="19">
        <v>642</v>
      </c>
      <c r="B630" t="s">
        <v>1930</v>
      </c>
      <c r="C630" t="s">
        <v>2076</v>
      </c>
      <c r="D630" t="s">
        <v>1005</v>
      </c>
      <c r="E630" t="s">
        <v>2133</v>
      </c>
      <c r="F630" t="s">
        <v>2330</v>
      </c>
      <c r="G630" t="s">
        <v>1250</v>
      </c>
      <c r="H630" t="s">
        <v>3823</v>
      </c>
      <c r="I630">
        <v>0</v>
      </c>
      <c r="L630" t="s">
        <v>3135</v>
      </c>
      <c r="M630" s="1086">
        <v>9992.3799999999992</v>
      </c>
      <c r="N630" s="1086">
        <v>0</v>
      </c>
      <c r="O630" s="1086">
        <v>0</v>
      </c>
      <c r="P630" s="1086">
        <v>4999.79</v>
      </c>
      <c r="Q630" s="1086">
        <v>0</v>
      </c>
      <c r="R630" s="1086">
        <v>0</v>
      </c>
      <c r="S630" s="1086">
        <v>0</v>
      </c>
      <c r="T630" s="1086">
        <v>2527.6</v>
      </c>
      <c r="U630" s="1086">
        <v>0</v>
      </c>
      <c r="V630" s="1086">
        <v>0</v>
      </c>
      <c r="W630" s="1086">
        <v>0</v>
      </c>
      <c r="X630" s="1086">
        <v>2464.9899999999998</v>
      </c>
      <c r="Y630" s="1086">
        <v>0</v>
      </c>
      <c r="Z630" s="1086">
        <v>0</v>
      </c>
      <c r="AA630" s="1086">
        <v>0</v>
      </c>
      <c r="AB630" s="1086">
        <v>0</v>
      </c>
      <c r="AC630" s="1086">
        <v>0</v>
      </c>
      <c r="AD630" s="1086" t="s">
        <v>248</v>
      </c>
      <c r="AE630" s="1086" t="s">
        <v>3883</v>
      </c>
      <c r="AF630" s="1086">
        <f t="shared" si="37"/>
        <v>0</v>
      </c>
      <c r="AG630" s="1086">
        <f t="shared" si="36"/>
        <v>0</v>
      </c>
      <c r="AQ630" s="1086">
        <v>0</v>
      </c>
      <c r="AR630" s="1086">
        <v>0</v>
      </c>
      <c r="AS630" s="1086">
        <v>0</v>
      </c>
      <c r="AT630" s="1086">
        <f t="shared" si="38"/>
        <v>0</v>
      </c>
      <c r="AV630" s="1150">
        <f t="shared" si="39"/>
        <v>9992.3799999999992</v>
      </c>
    </row>
    <row r="631" spans="1:48" x14ac:dyDescent="0.2">
      <c r="A631" s="19">
        <v>643</v>
      </c>
      <c r="B631" t="s">
        <v>1931</v>
      </c>
      <c r="C631" t="s">
        <v>2076</v>
      </c>
      <c r="D631" t="s">
        <v>1026</v>
      </c>
      <c r="E631" t="s">
        <v>2134</v>
      </c>
      <c r="F631" t="s">
        <v>2331</v>
      </c>
      <c r="G631" t="s">
        <v>1250</v>
      </c>
      <c r="H631" t="s">
        <v>3826</v>
      </c>
      <c r="I631" t="s">
        <v>3846</v>
      </c>
      <c r="J631" t="s">
        <v>3357</v>
      </c>
      <c r="K631" t="s">
        <v>3700</v>
      </c>
      <c r="L631" t="s">
        <v>3136</v>
      </c>
      <c r="M631" s="1086">
        <v>21103.8</v>
      </c>
      <c r="N631" s="1086">
        <v>0</v>
      </c>
      <c r="O631" s="1086">
        <v>0</v>
      </c>
      <c r="P631" s="1086">
        <v>0</v>
      </c>
      <c r="Q631" s="1086">
        <v>0</v>
      </c>
      <c r="R631" s="1086">
        <v>0</v>
      </c>
      <c r="S631" s="1086">
        <v>1731.9</v>
      </c>
      <c r="T631" s="1086">
        <v>26.02</v>
      </c>
      <c r="U631" s="1086">
        <v>1864.52</v>
      </c>
      <c r="V631" s="1086">
        <v>0</v>
      </c>
      <c r="W631" s="1086">
        <v>273.14999999999998</v>
      </c>
      <c r="X631" s="1086">
        <v>5330.78</v>
      </c>
      <c r="Y631" s="1086">
        <v>0</v>
      </c>
      <c r="Z631" s="1086">
        <v>0</v>
      </c>
      <c r="AA631" s="1086">
        <v>0</v>
      </c>
      <c r="AB631" s="1086">
        <v>0</v>
      </c>
      <c r="AC631" s="1086">
        <v>11877.43</v>
      </c>
      <c r="AD631" s="1086" t="s">
        <v>248</v>
      </c>
      <c r="AE631" s="1086" t="s">
        <v>3883</v>
      </c>
      <c r="AF631" s="1086">
        <f t="shared" si="37"/>
        <v>11877.43</v>
      </c>
      <c r="AG631" s="1086">
        <f t="shared" ref="AG631:AG692" si="40">AC631-AF631</f>
        <v>0</v>
      </c>
      <c r="AQ631" s="1086">
        <v>0</v>
      </c>
      <c r="AR631" s="1086">
        <v>0</v>
      </c>
      <c r="AS631" s="1086">
        <v>11877.43</v>
      </c>
      <c r="AT631" s="1086">
        <f t="shared" si="38"/>
        <v>0</v>
      </c>
      <c r="AV631" s="1150">
        <f t="shared" si="39"/>
        <v>9226.369999999999</v>
      </c>
    </row>
    <row r="632" spans="1:48" x14ac:dyDescent="0.2">
      <c r="A632" s="19">
        <v>644</v>
      </c>
      <c r="B632" t="s">
        <v>1932</v>
      </c>
      <c r="C632" t="s">
        <v>2076</v>
      </c>
      <c r="D632" t="s">
        <v>1049</v>
      </c>
      <c r="E632" t="s">
        <v>2135</v>
      </c>
      <c r="F632" t="s">
        <v>2332</v>
      </c>
      <c r="G632" t="s">
        <v>1250</v>
      </c>
      <c r="H632" t="s">
        <v>3822</v>
      </c>
      <c r="I632" t="s">
        <v>3846</v>
      </c>
      <c r="J632" t="s">
        <v>3270</v>
      </c>
      <c r="K632" t="s">
        <v>3701</v>
      </c>
      <c r="L632" t="s">
        <v>3137</v>
      </c>
      <c r="M632" s="1086">
        <v>34551.08</v>
      </c>
      <c r="N632" s="1086">
        <v>134000</v>
      </c>
      <c r="O632" s="1086">
        <v>0</v>
      </c>
      <c r="P632" s="1086">
        <v>99076.22</v>
      </c>
      <c r="Q632" s="1086">
        <v>0</v>
      </c>
      <c r="R632" s="1086">
        <v>0</v>
      </c>
      <c r="S632" s="1086">
        <v>0</v>
      </c>
      <c r="T632" s="1086">
        <v>25936.18</v>
      </c>
      <c r="U632" s="1086">
        <v>151.41</v>
      </c>
      <c r="V632" s="1086">
        <v>0</v>
      </c>
      <c r="W632" s="1086">
        <v>0</v>
      </c>
      <c r="X632" s="1086">
        <v>0</v>
      </c>
      <c r="Y632" s="1086">
        <v>0</v>
      </c>
      <c r="Z632" s="1086">
        <v>0</v>
      </c>
      <c r="AA632" s="1086">
        <v>0</v>
      </c>
      <c r="AB632" s="1086">
        <v>0</v>
      </c>
      <c r="AC632" s="1086">
        <v>43387.27</v>
      </c>
      <c r="AD632" s="1086" t="s">
        <v>248</v>
      </c>
      <c r="AE632" s="1086" t="s">
        <v>3883</v>
      </c>
      <c r="AF632" s="1086">
        <f t="shared" si="37"/>
        <v>43387.270000000019</v>
      </c>
      <c r="AG632" s="1086">
        <f t="shared" si="40"/>
        <v>0</v>
      </c>
      <c r="AQ632" s="1086">
        <v>0</v>
      </c>
      <c r="AR632" s="1086">
        <v>0</v>
      </c>
      <c r="AS632" s="1086">
        <v>43387.27</v>
      </c>
      <c r="AT632" s="1086">
        <f t="shared" si="38"/>
        <v>0</v>
      </c>
      <c r="AV632" s="1150">
        <f t="shared" si="39"/>
        <v>125163.81</v>
      </c>
    </row>
    <row r="633" spans="1:48" x14ac:dyDescent="0.2">
      <c r="A633" s="19">
        <v>645</v>
      </c>
      <c r="B633" t="s">
        <v>1933</v>
      </c>
      <c r="C633" t="s">
        <v>2076</v>
      </c>
      <c r="D633" t="s">
        <v>1049</v>
      </c>
      <c r="E633" t="s">
        <v>2135</v>
      </c>
      <c r="F633" t="s">
        <v>2332</v>
      </c>
      <c r="G633" t="s">
        <v>1250</v>
      </c>
      <c r="H633" t="s">
        <v>3825</v>
      </c>
      <c r="I633" t="s">
        <v>3846</v>
      </c>
      <c r="J633" t="s">
        <v>3270</v>
      </c>
      <c r="K633" t="s">
        <v>3702</v>
      </c>
      <c r="L633" t="s">
        <v>3138</v>
      </c>
      <c r="M633" s="1086">
        <v>29432.25</v>
      </c>
      <c r="N633" s="1086">
        <v>16023.92</v>
      </c>
      <c r="O633" s="1086">
        <v>0</v>
      </c>
      <c r="P633" s="1086">
        <v>5352.77</v>
      </c>
      <c r="Q633" s="1086">
        <v>1500</v>
      </c>
      <c r="R633" s="1086">
        <v>0</v>
      </c>
      <c r="S633" s="1086">
        <v>0</v>
      </c>
      <c r="T633" s="1086">
        <v>1670.19</v>
      </c>
      <c r="U633" s="1086">
        <v>17411.7</v>
      </c>
      <c r="V633" s="1086">
        <v>0</v>
      </c>
      <c r="W633" s="1086">
        <v>0</v>
      </c>
      <c r="X633" s="1086">
        <v>4080.33</v>
      </c>
      <c r="Y633" s="1086">
        <v>0</v>
      </c>
      <c r="Z633" s="1086">
        <v>0</v>
      </c>
      <c r="AA633" s="1086">
        <v>0</v>
      </c>
      <c r="AB633" s="1086">
        <v>0</v>
      </c>
      <c r="AC633" s="1086">
        <v>15441.18</v>
      </c>
      <c r="AD633" s="1086" t="s">
        <v>248</v>
      </c>
      <c r="AE633" s="1086" t="s">
        <v>3883</v>
      </c>
      <c r="AF633" s="1086">
        <f t="shared" si="37"/>
        <v>15441.179999999993</v>
      </c>
      <c r="AG633" s="1086">
        <f t="shared" si="40"/>
        <v>0</v>
      </c>
      <c r="AQ633" s="1086">
        <v>0</v>
      </c>
      <c r="AR633" s="1086">
        <v>0</v>
      </c>
      <c r="AS633" s="1086">
        <v>15441.18</v>
      </c>
      <c r="AT633" s="1086">
        <f t="shared" si="38"/>
        <v>0</v>
      </c>
      <c r="AV633" s="1150">
        <f t="shared" si="39"/>
        <v>30014.990000000005</v>
      </c>
    </row>
    <row r="634" spans="1:48" x14ac:dyDescent="0.2">
      <c r="A634" s="19">
        <v>646</v>
      </c>
      <c r="B634" t="s">
        <v>1934</v>
      </c>
      <c r="C634" t="s">
        <v>2076</v>
      </c>
      <c r="D634" t="s">
        <v>1049</v>
      </c>
      <c r="E634" t="s">
        <v>2135</v>
      </c>
      <c r="F634" t="s">
        <v>2332</v>
      </c>
      <c r="G634" t="s">
        <v>1250</v>
      </c>
      <c r="H634" t="s">
        <v>3825</v>
      </c>
      <c r="I634" t="s">
        <v>3846</v>
      </c>
      <c r="J634" t="s">
        <v>3270</v>
      </c>
      <c r="K634" t="s">
        <v>3703</v>
      </c>
      <c r="L634" t="s">
        <v>3139</v>
      </c>
      <c r="M634" s="1086">
        <v>1481.86</v>
      </c>
      <c r="N634" s="1086">
        <v>4000</v>
      </c>
      <c r="O634" s="1086">
        <v>0</v>
      </c>
      <c r="P634" s="1086">
        <v>0</v>
      </c>
      <c r="Q634" s="1086">
        <v>0</v>
      </c>
      <c r="R634" s="1086">
        <v>0</v>
      </c>
      <c r="S634" s="1086">
        <v>0</v>
      </c>
      <c r="T634" s="1086">
        <v>0</v>
      </c>
      <c r="U634" s="1086">
        <v>3834.86</v>
      </c>
      <c r="V634" s="1086">
        <v>0</v>
      </c>
      <c r="W634" s="1086">
        <v>140</v>
      </c>
      <c r="X634" s="1086">
        <v>0</v>
      </c>
      <c r="Y634" s="1086">
        <v>0</v>
      </c>
      <c r="Z634" s="1086">
        <v>0</v>
      </c>
      <c r="AA634" s="1086">
        <v>0</v>
      </c>
      <c r="AB634" s="1086">
        <v>0</v>
      </c>
      <c r="AC634" s="1086">
        <v>1507</v>
      </c>
      <c r="AD634" s="1086" t="s">
        <v>248</v>
      </c>
      <c r="AE634" s="1086" t="s">
        <v>3883</v>
      </c>
      <c r="AF634" s="1086">
        <f t="shared" si="37"/>
        <v>1506.9999999999995</v>
      </c>
      <c r="AG634" s="1086">
        <f t="shared" si="40"/>
        <v>0</v>
      </c>
      <c r="AQ634" s="1086">
        <v>0</v>
      </c>
      <c r="AR634" s="1086">
        <v>0</v>
      </c>
      <c r="AS634" s="1086">
        <v>1507</v>
      </c>
      <c r="AT634" s="1086">
        <f t="shared" si="38"/>
        <v>0</v>
      </c>
      <c r="AV634" s="1150">
        <f t="shared" si="39"/>
        <v>3974.86</v>
      </c>
    </row>
    <row r="635" spans="1:48" x14ac:dyDescent="0.2">
      <c r="A635" s="19">
        <v>647</v>
      </c>
      <c r="B635" t="s">
        <v>1935</v>
      </c>
      <c r="C635" t="s">
        <v>2076</v>
      </c>
      <c r="D635" t="s">
        <v>1027</v>
      </c>
      <c r="E635" t="s">
        <v>2137</v>
      </c>
      <c r="F635" t="s">
        <v>2334</v>
      </c>
      <c r="G635" t="s">
        <v>1254</v>
      </c>
      <c r="H635" t="s">
        <v>3822</v>
      </c>
      <c r="I635" t="s">
        <v>3251</v>
      </c>
      <c r="J635" t="s">
        <v>3251</v>
      </c>
      <c r="K635" t="s">
        <v>3251</v>
      </c>
      <c r="L635" t="s">
        <v>3140</v>
      </c>
      <c r="M635" s="1086">
        <v>0</v>
      </c>
      <c r="N635" s="1086">
        <v>80000</v>
      </c>
      <c r="O635" s="1086">
        <v>0</v>
      </c>
      <c r="P635" s="1086">
        <v>4075</v>
      </c>
      <c r="Q635" s="1086">
        <v>0</v>
      </c>
      <c r="R635" s="1086">
        <v>0</v>
      </c>
      <c r="S635" s="1086">
        <v>0</v>
      </c>
      <c r="T635" s="1086">
        <v>1119.9000000000001</v>
      </c>
      <c r="U635" s="1086">
        <v>0</v>
      </c>
      <c r="V635" s="1086">
        <v>0</v>
      </c>
      <c r="W635" s="1086">
        <v>0</v>
      </c>
      <c r="X635" s="1086">
        <v>0</v>
      </c>
      <c r="Y635" s="1086">
        <v>0</v>
      </c>
      <c r="Z635" s="1086">
        <v>0</v>
      </c>
      <c r="AA635" s="1086">
        <v>0</v>
      </c>
      <c r="AB635" s="1086">
        <v>0</v>
      </c>
      <c r="AC635" s="1086">
        <v>74805.100000000006</v>
      </c>
      <c r="AD635" s="1086" t="s">
        <v>248</v>
      </c>
      <c r="AE635" s="1086" t="s">
        <v>3883</v>
      </c>
      <c r="AF635" s="1086">
        <f t="shared" si="37"/>
        <v>74805.100000000006</v>
      </c>
      <c r="AG635" s="1086">
        <f t="shared" si="40"/>
        <v>0</v>
      </c>
      <c r="AQ635" s="1086">
        <v>0</v>
      </c>
      <c r="AR635" s="1086">
        <v>0</v>
      </c>
      <c r="AS635" s="1086">
        <v>74805.100000000006</v>
      </c>
      <c r="AT635" s="1086">
        <f t="shared" si="38"/>
        <v>0</v>
      </c>
      <c r="AV635" s="1150">
        <f t="shared" si="39"/>
        <v>5194.8999999999996</v>
      </c>
    </row>
    <row r="636" spans="1:48" x14ac:dyDescent="0.2">
      <c r="A636" s="19">
        <v>648</v>
      </c>
      <c r="B636" t="s">
        <v>1936</v>
      </c>
      <c r="C636" t="s">
        <v>2076</v>
      </c>
      <c r="D636" t="s">
        <v>1028</v>
      </c>
      <c r="E636" t="s">
        <v>2231</v>
      </c>
      <c r="F636" t="s">
        <v>2425</v>
      </c>
      <c r="G636" t="s">
        <v>1250</v>
      </c>
      <c r="H636" t="s">
        <v>3823</v>
      </c>
      <c r="I636" t="s">
        <v>3846</v>
      </c>
      <c r="J636" t="s">
        <v>3255</v>
      </c>
      <c r="K636" t="s">
        <v>3704</v>
      </c>
      <c r="L636" t="s">
        <v>3141</v>
      </c>
      <c r="M636" s="1086">
        <v>130298.55</v>
      </c>
      <c r="N636" s="1086">
        <v>0</v>
      </c>
      <c r="O636" s="1086">
        <v>0</v>
      </c>
      <c r="P636" s="1086">
        <v>0</v>
      </c>
      <c r="Q636" s="1086">
        <v>0</v>
      </c>
      <c r="R636" s="1086">
        <v>0</v>
      </c>
      <c r="S636" s="1086">
        <v>0</v>
      </c>
      <c r="T636" s="1086">
        <v>0</v>
      </c>
      <c r="U636" s="1086">
        <v>790</v>
      </c>
      <c r="V636" s="1086">
        <v>0</v>
      </c>
      <c r="W636" s="1086">
        <v>0</v>
      </c>
      <c r="X636" s="1086">
        <v>1415.13</v>
      </c>
      <c r="Y636" s="1086">
        <v>0</v>
      </c>
      <c r="Z636" s="1086">
        <v>0</v>
      </c>
      <c r="AA636" s="1086">
        <v>0</v>
      </c>
      <c r="AB636" s="1086">
        <v>0</v>
      </c>
      <c r="AC636" s="1086">
        <v>128093.42</v>
      </c>
      <c r="AD636" s="1086" t="s">
        <v>248</v>
      </c>
      <c r="AE636" s="1086" t="s">
        <v>3883</v>
      </c>
      <c r="AF636" s="1086">
        <f t="shared" si="37"/>
        <v>128093.42</v>
      </c>
      <c r="AG636" s="1086">
        <f t="shared" si="40"/>
        <v>0</v>
      </c>
      <c r="AQ636" s="1086">
        <v>0</v>
      </c>
      <c r="AR636" s="1086">
        <v>0</v>
      </c>
      <c r="AS636" s="1086">
        <v>128093.42</v>
      </c>
      <c r="AT636" s="1086">
        <f t="shared" si="38"/>
        <v>0</v>
      </c>
      <c r="AV636" s="1150">
        <f t="shared" si="39"/>
        <v>2205.13</v>
      </c>
    </row>
    <row r="637" spans="1:48" x14ac:dyDescent="0.2">
      <c r="A637" s="19">
        <v>649</v>
      </c>
      <c r="B637" t="s">
        <v>1937</v>
      </c>
      <c r="C637" t="s">
        <v>2076</v>
      </c>
      <c r="D637" t="s">
        <v>1028</v>
      </c>
      <c r="E637" t="s">
        <v>2231</v>
      </c>
      <c r="F637" t="s">
        <v>2425</v>
      </c>
      <c r="G637" t="s">
        <v>1250</v>
      </c>
      <c r="H637" t="s">
        <v>3822</v>
      </c>
      <c r="I637" t="s">
        <v>3846</v>
      </c>
      <c r="J637" t="s">
        <v>3255</v>
      </c>
      <c r="K637" t="s">
        <v>3705</v>
      </c>
      <c r="L637" t="s">
        <v>3142</v>
      </c>
      <c r="M637" s="1086">
        <v>17530.02</v>
      </c>
      <c r="N637" s="1086">
        <v>0</v>
      </c>
      <c r="O637" s="1086">
        <v>0</v>
      </c>
      <c r="P637" s="1086">
        <v>0</v>
      </c>
      <c r="Q637" s="1086">
        <v>0</v>
      </c>
      <c r="R637" s="1086">
        <v>0</v>
      </c>
      <c r="S637" s="1086">
        <v>0</v>
      </c>
      <c r="T637" s="1086">
        <v>0</v>
      </c>
      <c r="U637" s="1086">
        <v>1157.5</v>
      </c>
      <c r="V637" s="1086">
        <v>0</v>
      </c>
      <c r="W637" s="1086">
        <v>0</v>
      </c>
      <c r="X637" s="1086">
        <v>4257.0200000000004</v>
      </c>
      <c r="Y637" s="1086">
        <v>0</v>
      </c>
      <c r="Z637" s="1086">
        <v>0</v>
      </c>
      <c r="AA637" s="1086">
        <v>0</v>
      </c>
      <c r="AB637" s="1086">
        <v>0</v>
      </c>
      <c r="AC637" s="1086">
        <v>12115.5</v>
      </c>
      <c r="AD637" s="1086" t="s">
        <v>248</v>
      </c>
      <c r="AE637" s="1086" t="s">
        <v>3883</v>
      </c>
      <c r="AF637" s="1086">
        <f t="shared" si="37"/>
        <v>12115.5</v>
      </c>
      <c r="AG637" s="1086">
        <f t="shared" si="40"/>
        <v>0</v>
      </c>
      <c r="AQ637" s="1086">
        <v>0</v>
      </c>
      <c r="AR637" s="1086">
        <v>0</v>
      </c>
      <c r="AS637" s="1086">
        <v>12115.5</v>
      </c>
      <c r="AT637" s="1086">
        <f t="shared" si="38"/>
        <v>0</v>
      </c>
      <c r="AV637" s="1150">
        <f t="shared" si="39"/>
        <v>5414.52</v>
      </c>
    </row>
    <row r="638" spans="1:48" x14ac:dyDescent="0.2">
      <c r="A638" s="19">
        <v>650</v>
      </c>
      <c r="B638" t="s">
        <v>1938</v>
      </c>
      <c r="C638" t="s">
        <v>2076</v>
      </c>
      <c r="D638" t="s">
        <v>1028</v>
      </c>
      <c r="E638" t="s">
        <v>2231</v>
      </c>
      <c r="F638" t="s">
        <v>2425</v>
      </c>
      <c r="G638" t="s">
        <v>1250</v>
      </c>
      <c r="H638" t="s">
        <v>3823</v>
      </c>
      <c r="I638" t="s">
        <v>3251</v>
      </c>
      <c r="J638" t="s">
        <v>3251</v>
      </c>
      <c r="K638" t="s">
        <v>3251</v>
      </c>
      <c r="L638" t="s">
        <v>3143</v>
      </c>
      <c r="M638" s="1086">
        <v>0</v>
      </c>
      <c r="N638" s="1086">
        <v>68600</v>
      </c>
      <c r="O638" s="1086">
        <v>0</v>
      </c>
      <c r="P638" s="1086">
        <v>0</v>
      </c>
      <c r="Q638" s="1086">
        <v>0</v>
      </c>
      <c r="R638" s="1086">
        <v>0</v>
      </c>
      <c r="S638" s="1086">
        <v>0</v>
      </c>
      <c r="T638" s="1086">
        <v>0</v>
      </c>
      <c r="U638" s="1086">
        <v>0</v>
      </c>
      <c r="V638" s="1086">
        <v>0</v>
      </c>
      <c r="W638" s="1086">
        <v>0</v>
      </c>
      <c r="X638" s="1086">
        <v>0</v>
      </c>
      <c r="Y638" s="1086">
        <v>0</v>
      </c>
      <c r="Z638" s="1086">
        <v>0</v>
      </c>
      <c r="AA638" s="1086">
        <v>0</v>
      </c>
      <c r="AB638" s="1086">
        <v>0</v>
      </c>
      <c r="AC638" s="1086">
        <v>68600</v>
      </c>
      <c r="AD638" s="1086" t="s">
        <v>248</v>
      </c>
      <c r="AE638" s="1086" t="s">
        <v>3883</v>
      </c>
      <c r="AF638" s="1086">
        <f t="shared" si="37"/>
        <v>68600</v>
      </c>
      <c r="AG638" s="1086">
        <f t="shared" si="40"/>
        <v>0</v>
      </c>
      <c r="AQ638" s="1086">
        <v>0</v>
      </c>
      <c r="AR638" s="1086">
        <v>0</v>
      </c>
      <c r="AS638" s="1086">
        <v>68600</v>
      </c>
      <c r="AT638" s="1086">
        <f t="shared" si="38"/>
        <v>0</v>
      </c>
      <c r="AV638" s="1150">
        <f t="shared" si="39"/>
        <v>0</v>
      </c>
    </row>
    <row r="639" spans="1:48" x14ac:dyDescent="0.2">
      <c r="A639" s="19">
        <v>651</v>
      </c>
      <c r="B639" t="s">
        <v>1939</v>
      </c>
      <c r="C639" t="s">
        <v>2076</v>
      </c>
      <c r="D639" t="s">
        <v>1031</v>
      </c>
      <c r="E639" t="s">
        <v>2138</v>
      </c>
      <c r="F639" t="s">
        <v>2335</v>
      </c>
      <c r="G639" t="s">
        <v>3831</v>
      </c>
      <c r="H639" t="s">
        <v>3825</v>
      </c>
      <c r="I639" t="s">
        <v>3846</v>
      </c>
      <c r="J639" t="s">
        <v>3341</v>
      </c>
      <c r="K639" t="s">
        <v>3706</v>
      </c>
      <c r="L639" t="s">
        <v>3144</v>
      </c>
      <c r="M639" s="1086">
        <v>238293.12</v>
      </c>
      <c r="N639" s="1086">
        <v>119726.29</v>
      </c>
      <c r="O639" s="1086">
        <v>0</v>
      </c>
      <c r="P639" s="1086">
        <v>0</v>
      </c>
      <c r="Q639" s="1086">
        <v>0</v>
      </c>
      <c r="R639" s="1086">
        <v>0</v>
      </c>
      <c r="S639" s="1086">
        <v>2560.8000000000002</v>
      </c>
      <c r="T639" s="1086">
        <v>47.32</v>
      </c>
      <c r="U639" s="1086">
        <v>99221.440000000002</v>
      </c>
      <c r="V639" s="1086">
        <v>0</v>
      </c>
      <c r="W639" s="1086">
        <v>38370.730000000003</v>
      </c>
      <c r="X639" s="1086">
        <v>6417.6</v>
      </c>
      <c r="Y639" s="1086">
        <v>0</v>
      </c>
      <c r="Z639" s="1086">
        <v>0</v>
      </c>
      <c r="AA639" s="1086">
        <v>0</v>
      </c>
      <c r="AB639" s="1086">
        <v>0</v>
      </c>
      <c r="AC639" s="1086">
        <v>211401.52</v>
      </c>
      <c r="AD639" s="1103" t="s">
        <v>1252</v>
      </c>
      <c r="AE639" s="1086" t="s">
        <v>3886</v>
      </c>
      <c r="AF639" s="1086">
        <f t="shared" si="37"/>
        <v>211401.51999999996</v>
      </c>
      <c r="AG639" s="1086">
        <f t="shared" si="40"/>
        <v>0</v>
      </c>
      <c r="AQ639" s="1086">
        <v>0</v>
      </c>
      <c r="AR639" s="1086">
        <v>0</v>
      </c>
      <c r="AS639" s="1086">
        <v>211401.52</v>
      </c>
      <c r="AT639" s="1086">
        <f t="shared" si="38"/>
        <v>0</v>
      </c>
      <c r="AV639" s="1150">
        <f t="shared" si="39"/>
        <v>146617.89000000001</v>
      </c>
    </row>
    <row r="640" spans="1:48" x14ac:dyDescent="0.2">
      <c r="A640" s="19">
        <v>652</v>
      </c>
      <c r="B640" t="s">
        <v>1940</v>
      </c>
      <c r="C640" t="s">
        <v>2076</v>
      </c>
      <c r="D640" t="s">
        <v>1031</v>
      </c>
      <c r="E640" t="s">
        <v>2138</v>
      </c>
      <c r="F640" t="s">
        <v>2335</v>
      </c>
      <c r="G640" t="s">
        <v>3831</v>
      </c>
      <c r="H640" t="s">
        <v>3824</v>
      </c>
      <c r="I640">
        <v>2305</v>
      </c>
      <c r="J640" t="s">
        <v>3341</v>
      </c>
      <c r="K640" t="s">
        <v>3707</v>
      </c>
      <c r="L640" t="s">
        <v>3145</v>
      </c>
      <c r="M640" s="1086">
        <v>6064.96</v>
      </c>
      <c r="N640" s="1086">
        <v>46222.18</v>
      </c>
      <c r="O640" s="1086">
        <v>0</v>
      </c>
      <c r="P640" s="1086">
        <v>0</v>
      </c>
      <c r="Q640" s="1086">
        <v>0</v>
      </c>
      <c r="R640" s="1086">
        <v>0</v>
      </c>
      <c r="S640" s="1086">
        <v>0</v>
      </c>
      <c r="T640" s="1086">
        <v>0</v>
      </c>
      <c r="U640" s="1086">
        <v>20847.39</v>
      </c>
      <c r="V640" s="1086">
        <v>0</v>
      </c>
      <c r="W640" s="1086">
        <v>29884.799999999999</v>
      </c>
      <c r="X640" s="1086">
        <v>0</v>
      </c>
      <c r="Y640" s="1086">
        <v>0</v>
      </c>
      <c r="Z640" s="1086">
        <v>0</v>
      </c>
      <c r="AA640" s="1086">
        <v>0</v>
      </c>
      <c r="AB640" s="1086">
        <v>0</v>
      </c>
      <c r="AC640" s="1086">
        <v>1554.95</v>
      </c>
      <c r="AD640" s="1103" t="s">
        <v>1252</v>
      </c>
      <c r="AE640" s="1086" t="s">
        <v>3886</v>
      </c>
      <c r="AF640" s="1086">
        <f t="shared" si="37"/>
        <v>1554.9499999999971</v>
      </c>
      <c r="AG640" s="1086">
        <f t="shared" si="40"/>
        <v>2.9558577807620168E-12</v>
      </c>
      <c r="AQ640" s="1086">
        <v>0</v>
      </c>
      <c r="AR640" s="1086">
        <v>0</v>
      </c>
      <c r="AS640" s="1086">
        <v>1554.95</v>
      </c>
      <c r="AT640" s="1086">
        <f t="shared" si="38"/>
        <v>0</v>
      </c>
      <c r="AV640" s="1150">
        <f t="shared" si="39"/>
        <v>50732.19</v>
      </c>
    </row>
    <row r="641" spans="1:48" x14ac:dyDescent="0.2">
      <c r="A641" s="19">
        <v>653</v>
      </c>
      <c r="B641" t="s">
        <v>1941</v>
      </c>
      <c r="C641" t="s">
        <v>2076</v>
      </c>
      <c r="D641" t="s">
        <v>1026</v>
      </c>
      <c r="E641" t="s">
        <v>2140</v>
      </c>
      <c r="F641" t="s">
        <v>2337</v>
      </c>
      <c r="G641" t="s">
        <v>1250</v>
      </c>
      <c r="H641" t="s">
        <v>3825</v>
      </c>
      <c r="I641" t="s">
        <v>3846</v>
      </c>
      <c r="J641" t="s">
        <v>3357</v>
      </c>
      <c r="K641" t="s">
        <v>3708</v>
      </c>
      <c r="L641" t="s">
        <v>3146</v>
      </c>
      <c r="M641" s="1086">
        <v>104875.84</v>
      </c>
      <c r="N641" s="1086">
        <v>15000</v>
      </c>
      <c r="O641" s="1086">
        <v>12590.13</v>
      </c>
      <c r="P641" s="1086">
        <v>39545.39</v>
      </c>
      <c r="Q641" s="1086">
        <v>0</v>
      </c>
      <c r="R641" s="1086">
        <v>0</v>
      </c>
      <c r="S641" s="1086">
        <v>0</v>
      </c>
      <c r="T641" s="1086">
        <v>5169.07</v>
      </c>
      <c r="U641" s="1086">
        <v>28147.1</v>
      </c>
      <c r="V641" s="1086">
        <v>0</v>
      </c>
      <c r="W641" s="1086">
        <v>2186.4</v>
      </c>
      <c r="X641" s="1086">
        <v>606.04999999999995</v>
      </c>
      <c r="Y641" s="1086">
        <v>0</v>
      </c>
      <c r="Z641" s="1086">
        <v>0</v>
      </c>
      <c r="AA641" s="1086">
        <v>0</v>
      </c>
      <c r="AB641" s="1086">
        <v>0</v>
      </c>
      <c r="AC641" s="1086">
        <v>55437.23</v>
      </c>
      <c r="AD641" s="1086" t="s">
        <v>248</v>
      </c>
      <c r="AE641" s="1086" t="s">
        <v>3883</v>
      </c>
      <c r="AF641" s="1086">
        <f t="shared" si="37"/>
        <v>55437.23</v>
      </c>
      <c r="AG641" s="1086">
        <f t="shared" si="40"/>
        <v>0</v>
      </c>
      <c r="AQ641" s="1086">
        <v>1374.73</v>
      </c>
      <c r="AR641" s="1086">
        <v>0</v>
      </c>
      <c r="AS641" s="1086">
        <v>55437.23</v>
      </c>
      <c r="AT641" s="1086">
        <f t="shared" si="38"/>
        <v>0</v>
      </c>
      <c r="AV641" s="1150">
        <f t="shared" si="39"/>
        <v>77028.739999999991</v>
      </c>
    </row>
    <row r="642" spans="1:48" x14ac:dyDescent="0.2">
      <c r="A642" s="19">
        <v>654</v>
      </c>
      <c r="B642" t="s">
        <v>1942</v>
      </c>
      <c r="C642" t="s">
        <v>2076</v>
      </c>
      <c r="D642" t="s">
        <v>1026</v>
      </c>
      <c r="E642" t="s">
        <v>2140</v>
      </c>
      <c r="F642" t="s">
        <v>2337</v>
      </c>
      <c r="G642" t="s">
        <v>1250</v>
      </c>
      <c r="H642" t="s">
        <v>3825</v>
      </c>
      <c r="I642" t="s">
        <v>3846</v>
      </c>
      <c r="J642" t="s">
        <v>3357</v>
      </c>
      <c r="K642" t="s">
        <v>3709</v>
      </c>
      <c r="L642" t="s">
        <v>3147</v>
      </c>
      <c r="M642" s="1086">
        <v>1091.95</v>
      </c>
      <c r="N642" s="1086">
        <v>147169.4</v>
      </c>
      <c r="O642" s="1086">
        <v>0</v>
      </c>
      <c r="P642" s="1086">
        <v>0</v>
      </c>
      <c r="Q642" s="1086">
        <v>0</v>
      </c>
      <c r="R642" s="1086">
        <v>0</v>
      </c>
      <c r="S642" s="1086">
        <v>6839.68</v>
      </c>
      <c r="T642" s="1086">
        <v>118.91</v>
      </c>
      <c r="U642" s="1086">
        <v>43557.39</v>
      </c>
      <c r="V642" s="1086">
        <v>12450</v>
      </c>
      <c r="W642" s="1086">
        <v>49446.06</v>
      </c>
      <c r="X642" s="1086">
        <v>0</v>
      </c>
      <c r="Y642" s="1086">
        <v>0</v>
      </c>
      <c r="Z642" s="1086">
        <v>0</v>
      </c>
      <c r="AA642" s="1086">
        <v>0</v>
      </c>
      <c r="AB642" s="1086">
        <v>0</v>
      </c>
      <c r="AC642" s="1086">
        <v>35849.31</v>
      </c>
      <c r="AD642" s="1086" t="s">
        <v>248</v>
      </c>
      <c r="AE642" s="1086" t="s">
        <v>3883</v>
      </c>
      <c r="AF642" s="1086">
        <f t="shared" si="37"/>
        <v>35849.310000000012</v>
      </c>
      <c r="AG642" s="1086">
        <f t="shared" si="40"/>
        <v>0</v>
      </c>
      <c r="AQ642" s="1086">
        <v>0</v>
      </c>
      <c r="AR642" s="1086">
        <v>0</v>
      </c>
      <c r="AS642" s="1086">
        <v>35849.31</v>
      </c>
      <c r="AT642" s="1086">
        <f t="shared" si="38"/>
        <v>0</v>
      </c>
      <c r="AV642" s="1150">
        <f t="shared" si="39"/>
        <v>112412.04</v>
      </c>
    </row>
    <row r="643" spans="1:48" x14ac:dyDescent="0.2">
      <c r="A643" s="19">
        <v>655</v>
      </c>
      <c r="B643" t="s">
        <v>1943</v>
      </c>
      <c r="C643" t="s">
        <v>2076</v>
      </c>
      <c r="D643" t="s">
        <v>1026</v>
      </c>
      <c r="E643" t="s">
        <v>2140</v>
      </c>
      <c r="F643" t="s">
        <v>2337</v>
      </c>
      <c r="G643" t="s">
        <v>1250</v>
      </c>
      <c r="H643" t="s">
        <v>3822</v>
      </c>
      <c r="I643">
        <v>0</v>
      </c>
      <c r="L643" t="s">
        <v>3148</v>
      </c>
      <c r="M643" s="1086">
        <v>1.67</v>
      </c>
      <c r="N643" s="1086">
        <v>0</v>
      </c>
      <c r="O643" s="1086">
        <v>0</v>
      </c>
      <c r="P643" s="1086">
        <v>0</v>
      </c>
      <c r="Q643" s="1086">
        <v>2.06</v>
      </c>
      <c r="R643" s="1086">
        <v>0</v>
      </c>
      <c r="S643" s="1086">
        <v>0</v>
      </c>
      <c r="T643" s="1086">
        <v>0.03</v>
      </c>
      <c r="U643" s="1086">
        <v>0</v>
      </c>
      <c r="V643" s="1086">
        <v>0</v>
      </c>
      <c r="W643" s="1086">
        <v>0</v>
      </c>
      <c r="X643" s="1086">
        <v>-0.42</v>
      </c>
      <c r="Y643" s="1086">
        <v>0</v>
      </c>
      <c r="Z643" s="1086">
        <v>0</v>
      </c>
      <c r="AA643" s="1086">
        <v>0</v>
      </c>
      <c r="AB643" s="1086">
        <v>0</v>
      </c>
      <c r="AC643" s="1086">
        <v>0</v>
      </c>
      <c r="AD643" s="1086" t="s">
        <v>248</v>
      </c>
      <c r="AE643" s="1086" t="s">
        <v>3883</v>
      </c>
      <c r="AF643" s="1086">
        <f t="shared" si="37"/>
        <v>0</v>
      </c>
      <c r="AG643" s="1086">
        <f t="shared" si="40"/>
        <v>0</v>
      </c>
      <c r="AQ643" s="1086">
        <v>0</v>
      </c>
      <c r="AR643" s="1086">
        <v>0</v>
      </c>
      <c r="AS643" s="1086">
        <v>0</v>
      </c>
      <c r="AT643" s="1086">
        <f t="shared" si="38"/>
        <v>0</v>
      </c>
      <c r="AV643" s="1150">
        <f t="shared" si="39"/>
        <v>1.67</v>
      </c>
    </row>
    <row r="644" spans="1:48" x14ac:dyDescent="0.2">
      <c r="A644" s="19">
        <v>656</v>
      </c>
      <c r="B644" t="s">
        <v>1944</v>
      </c>
      <c r="C644" t="s">
        <v>2076</v>
      </c>
      <c r="D644" t="s">
        <v>1026</v>
      </c>
      <c r="E644" t="s">
        <v>2140</v>
      </c>
      <c r="F644" t="s">
        <v>2337</v>
      </c>
      <c r="G644" t="s">
        <v>1250</v>
      </c>
      <c r="H644" t="s">
        <v>3825</v>
      </c>
      <c r="I644" t="s">
        <v>3846</v>
      </c>
      <c r="J644" t="s">
        <v>3357</v>
      </c>
      <c r="K644" t="s">
        <v>3710</v>
      </c>
      <c r="L644" t="s">
        <v>3149</v>
      </c>
      <c r="M644" s="1086">
        <v>8457.76</v>
      </c>
      <c r="N644" s="1086">
        <v>0</v>
      </c>
      <c r="O644" s="1086">
        <v>0</v>
      </c>
      <c r="P644" s="1086">
        <v>0</v>
      </c>
      <c r="Q644" s="1086">
        <v>0</v>
      </c>
      <c r="R644" s="1086">
        <v>0</v>
      </c>
      <c r="S644" s="1086">
        <v>0</v>
      </c>
      <c r="T644" s="1086">
        <v>0</v>
      </c>
      <c r="U644" s="1086">
        <v>0</v>
      </c>
      <c r="V644" s="1086">
        <v>0</v>
      </c>
      <c r="W644" s="1086">
        <v>0</v>
      </c>
      <c r="X644" s="1086">
        <v>0</v>
      </c>
      <c r="Y644" s="1086">
        <v>0</v>
      </c>
      <c r="Z644" s="1086">
        <v>0</v>
      </c>
      <c r="AA644" s="1086">
        <v>0</v>
      </c>
      <c r="AB644" s="1086">
        <v>0</v>
      </c>
      <c r="AC644" s="1086">
        <v>8457.76</v>
      </c>
      <c r="AD644" s="1086" t="s">
        <v>248</v>
      </c>
      <c r="AE644" s="1086" t="s">
        <v>3883</v>
      </c>
      <c r="AF644" s="1086">
        <f t="shared" si="37"/>
        <v>8457.76</v>
      </c>
      <c r="AG644" s="1086">
        <f t="shared" si="40"/>
        <v>0</v>
      </c>
      <c r="AQ644" s="1086">
        <v>0</v>
      </c>
      <c r="AR644" s="1086">
        <v>0</v>
      </c>
      <c r="AS644" s="1086">
        <v>8457.76</v>
      </c>
      <c r="AT644" s="1086">
        <f t="shared" si="38"/>
        <v>0</v>
      </c>
      <c r="AV644" s="1150">
        <f t="shared" si="39"/>
        <v>0</v>
      </c>
    </row>
    <row r="645" spans="1:48" x14ac:dyDescent="0.2">
      <c r="A645" s="19">
        <v>657</v>
      </c>
      <c r="B645" t="s">
        <v>1945</v>
      </c>
      <c r="C645" t="s">
        <v>2076</v>
      </c>
      <c r="D645" t="s">
        <v>1026</v>
      </c>
      <c r="E645" t="s">
        <v>2140</v>
      </c>
      <c r="F645" t="s">
        <v>2337</v>
      </c>
      <c r="G645" t="s">
        <v>1250</v>
      </c>
      <c r="H645" t="s">
        <v>3825</v>
      </c>
      <c r="I645" t="s">
        <v>3846</v>
      </c>
      <c r="J645" t="s">
        <v>3357</v>
      </c>
      <c r="K645" t="s">
        <v>3711</v>
      </c>
      <c r="L645" t="s">
        <v>3150</v>
      </c>
      <c r="M645" s="1086">
        <v>3469.19</v>
      </c>
      <c r="N645" s="1086">
        <v>0</v>
      </c>
      <c r="O645" s="1086">
        <v>0</v>
      </c>
      <c r="P645" s="1086">
        <v>0</v>
      </c>
      <c r="Q645" s="1086">
        <v>0</v>
      </c>
      <c r="R645" s="1086">
        <v>0</v>
      </c>
      <c r="S645" s="1086">
        <v>0</v>
      </c>
      <c r="T645" s="1086">
        <v>0</v>
      </c>
      <c r="U645" s="1086">
        <v>0</v>
      </c>
      <c r="V645" s="1086">
        <v>0</v>
      </c>
      <c r="W645" s="1086">
        <v>0</v>
      </c>
      <c r="X645" s="1086">
        <v>0</v>
      </c>
      <c r="Y645" s="1086">
        <v>0</v>
      </c>
      <c r="Z645" s="1086">
        <v>0</v>
      </c>
      <c r="AA645" s="1086">
        <v>0</v>
      </c>
      <c r="AB645" s="1086">
        <v>0</v>
      </c>
      <c r="AC645" s="1086">
        <v>3469.19</v>
      </c>
      <c r="AD645" s="1086" t="s">
        <v>248</v>
      </c>
      <c r="AE645" s="1086" t="s">
        <v>3883</v>
      </c>
      <c r="AF645" s="1086">
        <f t="shared" si="37"/>
        <v>3469.19</v>
      </c>
      <c r="AG645" s="1086">
        <f t="shared" si="40"/>
        <v>0</v>
      </c>
      <c r="AQ645" s="1086">
        <v>0</v>
      </c>
      <c r="AR645" s="1086">
        <v>0</v>
      </c>
      <c r="AS645" s="1086">
        <v>3469.19</v>
      </c>
      <c r="AT645" s="1086">
        <f t="shared" si="38"/>
        <v>0</v>
      </c>
      <c r="AV645" s="1150">
        <f t="shared" si="39"/>
        <v>0</v>
      </c>
    </row>
    <row r="646" spans="1:48" x14ac:dyDescent="0.2">
      <c r="A646" s="19">
        <v>658</v>
      </c>
      <c r="B646" t="s">
        <v>1946</v>
      </c>
      <c r="C646" t="s">
        <v>2076</v>
      </c>
      <c r="D646" t="s">
        <v>1026</v>
      </c>
      <c r="E646" t="s">
        <v>2140</v>
      </c>
      <c r="F646" t="s">
        <v>2337</v>
      </c>
      <c r="G646" t="s">
        <v>1250</v>
      </c>
      <c r="H646" t="s">
        <v>3822</v>
      </c>
      <c r="I646">
        <v>0</v>
      </c>
      <c r="L646" t="s">
        <v>3151</v>
      </c>
      <c r="M646" s="1086">
        <v>1700.92</v>
      </c>
      <c r="N646" s="1086">
        <v>0</v>
      </c>
      <c r="O646" s="1086">
        <v>0</v>
      </c>
      <c r="P646" s="1086">
        <v>1304.51</v>
      </c>
      <c r="Q646" s="1086">
        <v>0</v>
      </c>
      <c r="R646" s="1086">
        <v>0</v>
      </c>
      <c r="S646" s="1086">
        <v>0</v>
      </c>
      <c r="T646" s="1086">
        <v>396.41</v>
      </c>
      <c r="U646" s="1086">
        <v>0</v>
      </c>
      <c r="V646" s="1086">
        <v>0</v>
      </c>
      <c r="W646" s="1086">
        <v>0</v>
      </c>
      <c r="X646" s="1086">
        <v>0</v>
      </c>
      <c r="Y646" s="1086">
        <v>0</v>
      </c>
      <c r="Z646" s="1086">
        <v>0</v>
      </c>
      <c r="AA646" s="1086">
        <v>0</v>
      </c>
      <c r="AB646" s="1086">
        <v>0</v>
      </c>
      <c r="AC646" s="1086">
        <v>0</v>
      </c>
      <c r="AD646" s="1086" t="s">
        <v>248</v>
      </c>
      <c r="AE646" s="1086" t="s">
        <v>3883</v>
      </c>
      <c r="AF646" s="1086">
        <f t="shared" si="37"/>
        <v>0</v>
      </c>
      <c r="AG646" s="1086">
        <f t="shared" si="40"/>
        <v>0</v>
      </c>
      <c r="AQ646" s="1086">
        <v>0</v>
      </c>
      <c r="AR646" s="1086">
        <v>0</v>
      </c>
      <c r="AS646" s="1086">
        <v>0</v>
      </c>
      <c r="AT646" s="1086">
        <f t="shared" si="38"/>
        <v>0</v>
      </c>
      <c r="AV646" s="1150">
        <f t="shared" si="39"/>
        <v>1700.92</v>
      </c>
    </row>
    <row r="647" spans="1:48" x14ac:dyDescent="0.2">
      <c r="A647" s="19">
        <v>659</v>
      </c>
      <c r="B647" t="s">
        <v>1947</v>
      </c>
      <c r="C647" t="s">
        <v>2076</v>
      </c>
      <c r="D647" t="s">
        <v>1026</v>
      </c>
      <c r="E647" t="s">
        <v>2140</v>
      </c>
      <c r="F647" t="s">
        <v>2337</v>
      </c>
      <c r="G647" t="s">
        <v>1250</v>
      </c>
      <c r="H647" t="s">
        <v>3825</v>
      </c>
      <c r="I647" t="s">
        <v>3846</v>
      </c>
      <c r="J647" t="s">
        <v>3357</v>
      </c>
      <c r="K647" t="s">
        <v>3712</v>
      </c>
      <c r="L647" t="s">
        <v>3152</v>
      </c>
      <c r="M647" s="1086">
        <v>25804.400000000001</v>
      </c>
      <c r="N647" s="1086">
        <v>0</v>
      </c>
      <c r="O647" s="1086">
        <v>0</v>
      </c>
      <c r="P647" s="1086">
        <v>15337.73</v>
      </c>
      <c r="Q647" s="1086">
        <v>0</v>
      </c>
      <c r="R647" s="1086">
        <v>0</v>
      </c>
      <c r="S647" s="1086">
        <v>2559.6</v>
      </c>
      <c r="T647" s="1086">
        <v>309.57</v>
      </c>
      <c r="U647" s="1086">
        <v>104.25</v>
      </c>
      <c r="V647" s="1086">
        <v>0</v>
      </c>
      <c r="W647" s="1086">
        <v>0</v>
      </c>
      <c r="X647" s="1086">
        <v>0</v>
      </c>
      <c r="Y647" s="1086">
        <v>0</v>
      </c>
      <c r="Z647" s="1086">
        <v>0</v>
      </c>
      <c r="AA647" s="1086">
        <v>0</v>
      </c>
      <c r="AB647" s="1086">
        <v>0</v>
      </c>
      <c r="AC647" s="1086">
        <v>7493.25</v>
      </c>
      <c r="AD647" s="1086" t="s">
        <v>248</v>
      </c>
      <c r="AE647" s="1086" t="s">
        <v>3883</v>
      </c>
      <c r="AF647" s="1086">
        <f t="shared" si="37"/>
        <v>7493.2500000000036</v>
      </c>
      <c r="AG647" s="1086">
        <f t="shared" si="40"/>
        <v>0</v>
      </c>
      <c r="AQ647" s="1086">
        <v>0</v>
      </c>
      <c r="AR647" s="1086">
        <v>0</v>
      </c>
      <c r="AS647" s="1086">
        <v>7493.25</v>
      </c>
      <c r="AT647" s="1086">
        <f t="shared" si="38"/>
        <v>0</v>
      </c>
      <c r="AV647" s="1150">
        <f t="shared" si="39"/>
        <v>18311.149999999998</v>
      </c>
    </row>
    <row r="648" spans="1:48" x14ac:dyDescent="0.2">
      <c r="A648" s="19">
        <v>660</v>
      </c>
      <c r="B648" t="s">
        <v>1948</v>
      </c>
      <c r="C648" t="s">
        <v>2076</v>
      </c>
      <c r="D648" t="s">
        <v>1026</v>
      </c>
      <c r="E648" t="s">
        <v>2140</v>
      </c>
      <c r="F648" t="s">
        <v>2337</v>
      </c>
      <c r="G648" t="s">
        <v>1250</v>
      </c>
      <c r="H648" t="s">
        <v>3822</v>
      </c>
      <c r="I648" t="s">
        <v>3846</v>
      </c>
      <c r="J648" t="s">
        <v>3357</v>
      </c>
      <c r="K648" t="s">
        <v>3713</v>
      </c>
      <c r="L648" t="s">
        <v>3153</v>
      </c>
      <c r="M648" s="1086">
        <v>24428.69</v>
      </c>
      <c r="N648" s="1086">
        <v>0</v>
      </c>
      <c r="O648" s="1086">
        <v>0</v>
      </c>
      <c r="P648" s="1086">
        <v>453.58</v>
      </c>
      <c r="Q648" s="1086">
        <v>0</v>
      </c>
      <c r="R648" s="1086">
        <v>0</v>
      </c>
      <c r="S648" s="1086">
        <v>0</v>
      </c>
      <c r="T648" s="1086">
        <v>0</v>
      </c>
      <c r="U648" s="1086">
        <v>0</v>
      </c>
      <c r="V648" s="1086">
        <v>0</v>
      </c>
      <c r="W648" s="1086">
        <v>0</v>
      </c>
      <c r="X648" s="1086">
        <v>0</v>
      </c>
      <c r="Y648" s="1086">
        <v>0</v>
      </c>
      <c r="Z648" s="1086">
        <v>0</v>
      </c>
      <c r="AA648" s="1086">
        <v>0</v>
      </c>
      <c r="AB648" s="1086">
        <v>0</v>
      </c>
      <c r="AC648" s="1086">
        <v>23975.11</v>
      </c>
      <c r="AD648" s="1086" t="s">
        <v>248</v>
      </c>
      <c r="AE648" s="1086" t="s">
        <v>3883</v>
      </c>
      <c r="AF648" s="1086">
        <f t="shared" ref="AF648:AF711" si="41">M648+N648+O648-(SUM(P648:AB648))-AQ648-AR648</f>
        <v>23975.109999999997</v>
      </c>
      <c r="AG648" s="1086">
        <f t="shared" si="40"/>
        <v>0</v>
      </c>
      <c r="AQ648" s="1086">
        <v>0</v>
      </c>
      <c r="AR648" s="1086">
        <v>0</v>
      </c>
      <c r="AS648" s="1086">
        <v>23975.11</v>
      </c>
      <c r="AT648" s="1086">
        <f t="shared" ref="AT648:AT711" si="42">AC648-AS648</f>
        <v>0</v>
      </c>
      <c r="AV648" s="1150">
        <f t="shared" si="39"/>
        <v>453.58</v>
      </c>
    </row>
    <row r="649" spans="1:48" x14ac:dyDescent="0.2">
      <c r="A649" s="19">
        <v>661</v>
      </c>
      <c r="B649" t="s">
        <v>1949</v>
      </c>
      <c r="C649" t="s">
        <v>2076</v>
      </c>
      <c r="D649" t="s">
        <v>1026</v>
      </c>
      <c r="E649" t="s">
        <v>2140</v>
      </c>
      <c r="F649" t="s">
        <v>2337</v>
      </c>
      <c r="G649" t="s">
        <v>1250</v>
      </c>
      <c r="H649" t="s">
        <v>3823</v>
      </c>
      <c r="I649" t="s">
        <v>3846</v>
      </c>
      <c r="J649" t="s">
        <v>3357</v>
      </c>
      <c r="K649" t="s">
        <v>3714</v>
      </c>
      <c r="L649" t="s">
        <v>3154</v>
      </c>
      <c r="M649" s="1086">
        <v>28331.35</v>
      </c>
      <c r="N649" s="1086">
        <v>0</v>
      </c>
      <c r="O649" s="1086">
        <v>0</v>
      </c>
      <c r="P649" s="1086">
        <v>0</v>
      </c>
      <c r="Q649" s="1086">
        <v>0</v>
      </c>
      <c r="R649" s="1086">
        <v>0</v>
      </c>
      <c r="S649" s="1086">
        <v>0</v>
      </c>
      <c r="T649" s="1086">
        <v>0</v>
      </c>
      <c r="U649" s="1086">
        <v>1023.68</v>
      </c>
      <c r="V649" s="1086">
        <v>0</v>
      </c>
      <c r="W649" s="1086">
        <v>0</v>
      </c>
      <c r="X649" s="1086">
        <v>0</v>
      </c>
      <c r="Y649" s="1086">
        <v>0</v>
      </c>
      <c r="Z649" s="1086">
        <v>0</v>
      </c>
      <c r="AA649" s="1086">
        <v>0</v>
      </c>
      <c r="AB649" s="1086">
        <v>0</v>
      </c>
      <c r="AC649" s="1086">
        <v>27307.67</v>
      </c>
      <c r="AD649" s="1086" t="s">
        <v>248</v>
      </c>
      <c r="AE649" s="1086" t="s">
        <v>3883</v>
      </c>
      <c r="AF649" s="1086">
        <f t="shared" si="41"/>
        <v>27307.67</v>
      </c>
      <c r="AG649" s="1086">
        <f t="shared" si="40"/>
        <v>0</v>
      </c>
      <c r="AQ649" s="1086">
        <v>0</v>
      </c>
      <c r="AR649" s="1086">
        <v>0</v>
      </c>
      <c r="AS649" s="1086">
        <v>27307.67</v>
      </c>
      <c r="AT649" s="1086">
        <f t="shared" si="42"/>
        <v>0</v>
      </c>
      <c r="AV649" s="1150">
        <f t="shared" ref="AV649:AV712" si="43">SUM(P649:AB649)+AQ649+AR649</f>
        <v>1023.68</v>
      </c>
    </row>
    <row r="650" spans="1:48" x14ac:dyDescent="0.2">
      <c r="A650" s="19">
        <v>662</v>
      </c>
      <c r="B650" t="s">
        <v>1950</v>
      </c>
      <c r="C650" t="s">
        <v>2076</v>
      </c>
      <c r="D650" t="s">
        <v>1005</v>
      </c>
      <c r="E650" t="s">
        <v>2141</v>
      </c>
      <c r="F650" t="s">
        <v>2338</v>
      </c>
      <c r="G650" t="s">
        <v>1250</v>
      </c>
      <c r="H650" t="s">
        <v>3822</v>
      </c>
      <c r="I650" t="s">
        <v>3846</v>
      </c>
      <c r="J650" t="s">
        <v>3355</v>
      </c>
      <c r="K650" t="s">
        <v>3715</v>
      </c>
      <c r="L650" t="s">
        <v>3155</v>
      </c>
      <c r="M650" s="1086">
        <v>87601.4</v>
      </c>
      <c r="N650" s="1086">
        <v>25704.68</v>
      </c>
      <c r="O650" s="1086">
        <v>0</v>
      </c>
      <c r="P650" s="1086">
        <v>0</v>
      </c>
      <c r="Q650" s="1086">
        <v>0</v>
      </c>
      <c r="R650" s="1086">
        <v>0</v>
      </c>
      <c r="S650" s="1086">
        <v>1613.4</v>
      </c>
      <c r="T650" s="1086">
        <v>33.31</v>
      </c>
      <c r="U650" s="1086">
        <v>1412.19</v>
      </c>
      <c r="V650" s="1086">
        <v>0</v>
      </c>
      <c r="W650" s="1086">
        <v>622.98</v>
      </c>
      <c r="X650" s="1086">
        <v>8413.42</v>
      </c>
      <c r="Y650" s="1086">
        <v>0</v>
      </c>
      <c r="Z650" s="1086">
        <v>0</v>
      </c>
      <c r="AA650" s="1086">
        <v>0</v>
      </c>
      <c r="AB650" s="1086">
        <v>0</v>
      </c>
      <c r="AC650" s="1086">
        <v>101210.78</v>
      </c>
      <c r="AD650" s="1086" t="s">
        <v>248</v>
      </c>
      <c r="AE650" s="1086" t="s">
        <v>3883</v>
      </c>
      <c r="AF650" s="1086">
        <f t="shared" si="41"/>
        <v>101210.77999999998</v>
      </c>
      <c r="AG650" s="1086">
        <f t="shared" si="40"/>
        <v>0</v>
      </c>
      <c r="AQ650" s="1086">
        <v>0</v>
      </c>
      <c r="AR650" s="1086">
        <v>0</v>
      </c>
      <c r="AS650" s="1086">
        <v>101210.78</v>
      </c>
      <c r="AT650" s="1086">
        <f t="shared" si="42"/>
        <v>0</v>
      </c>
      <c r="AV650" s="1150">
        <f t="shared" si="43"/>
        <v>12095.3</v>
      </c>
    </row>
    <row r="651" spans="1:48" x14ac:dyDescent="0.2">
      <c r="A651" s="19">
        <v>663</v>
      </c>
      <c r="B651" t="s">
        <v>1951</v>
      </c>
      <c r="C651" t="s">
        <v>2076</v>
      </c>
      <c r="D651" t="s">
        <v>1058</v>
      </c>
      <c r="E651" t="s">
        <v>2142</v>
      </c>
      <c r="F651" t="s">
        <v>2339</v>
      </c>
      <c r="G651" t="s">
        <v>1250</v>
      </c>
      <c r="H651" t="s">
        <v>3824</v>
      </c>
      <c r="I651" t="s">
        <v>3846</v>
      </c>
      <c r="J651" t="s">
        <v>3313</v>
      </c>
      <c r="K651" t="s">
        <v>3716</v>
      </c>
      <c r="L651" t="s">
        <v>3156</v>
      </c>
      <c r="M651" s="1086">
        <v>47491.6</v>
      </c>
      <c r="N651" s="1086">
        <v>0</v>
      </c>
      <c r="O651" s="1086">
        <v>0</v>
      </c>
      <c r="P651" s="1086">
        <v>0</v>
      </c>
      <c r="Q651" s="1086">
        <v>0</v>
      </c>
      <c r="R651" s="1086">
        <v>0</v>
      </c>
      <c r="S651" s="1086">
        <v>9434</v>
      </c>
      <c r="T651" s="1086">
        <v>142.4</v>
      </c>
      <c r="U651" s="1086">
        <v>2050</v>
      </c>
      <c r="V651" s="1086">
        <v>0</v>
      </c>
      <c r="W651" s="1086">
        <v>0</v>
      </c>
      <c r="X651" s="1086">
        <v>2153.27</v>
      </c>
      <c r="Y651" s="1086">
        <v>0</v>
      </c>
      <c r="Z651" s="1086">
        <v>0</v>
      </c>
      <c r="AA651" s="1086">
        <v>0</v>
      </c>
      <c r="AB651" s="1086">
        <v>0</v>
      </c>
      <c r="AC651" s="1086">
        <v>33711.93</v>
      </c>
      <c r="AD651" s="1086" t="s">
        <v>248</v>
      </c>
      <c r="AE651" s="1086" t="s">
        <v>3883</v>
      </c>
      <c r="AF651" s="1086">
        <f t="shared" si="41"/>
        <v>33711.93</v>
      </c>
      <c r="AG651" s="1086">
        <f t="shared" si="40"/>
        <v>0</v>
      </c>
      <c r="AQ651" s="1086">
        <v>0</v>
      </c>
      <c r="AR651" s="1086">
        <v>0</v>
      </c>
      <c r="AS651" s="1086">
        <v>33711.93</v>
      </c>
      <c r="AT651" s="1086">
        <f t="shared" si="42"/>
        <v>0</v>
      </c>
      <c r="AV651" s="1150">
        <f t="shared" si="43"/>
        <v>13779.67</v>
      </c>
    </row>
    <row r="652" spans="1:48" x14ac:dyDescent="0.2">
      <c r="A652" s="19">
        <v>664</v>
      </c>
      <c r="B652" t="s">
        <v>1952</v>
      </c>
      <c r="C652" t="s">
        <v>2076</v>
      </c>
      <c r="D652" t="s">
        <v>1058</v>
      </c>
      <c r="E652" t="s">
        <v>2142</v>
      </c>
      <c r="F652" t="s">
        <v>2339</v>
      </c>
      <c r="G652" t="s">
        <v>1250</v>
      </c>
      <c r="H652" t="s">
        <v>3825</v>
      </c>
      <c r="I652">
        <v>2305</v>
      </c>
      <c r="J652" t="s">
        <v>3313</v>
      </c>
      <c r="K652" t="s">
        <v>3717</v>
      </c>
      <c r="L652" t="s">
        <v>3157</v>
      </c>
      <c r="M652" s="1086">
        <v>5793.63</v>
      </c>
      <c r="N652" s="1086">
        <v>71632.070000000007</v>
      </c>
      <c r="O652" s="1086">
        <v>0</v>
      </c>
      <c r="P652" s="1086">
        <v>0</v>
      </c>
      <c r="Q652" s="1086">
        <v>53000</v>
      </c>
      <c r="R652" s="1086">
        <v>0</v>
      </c>
      <c r="S652" s="1086">
        <v>0</v>
      </c>
      <c r="T652" s="1086">
        <v>16994.8</v>
      </c>
      <c r="U652" s="1086">
        <v>0</v>
      </c>
      <c r="V652" s="1086">
        <v>0</v>
      </c>
      <c r="W652" s="1086">
        <v>0</v>
      </c>
      <c r="X652" s="1086">
        <v>0</v>
      </c>
      <c r="Y652" s="1086">
        <v>0</v>
      </c>
      <c r="Z652" s="1086">
        <v>0</v>
      </c>
      <c r="AA652" s="1086">
        <v>0</v>
      </c>
      <c r="AB652" s="1086">
        <v>0</v>
      </c>
      <c r="AC652" s="1086">
        <v>7430.9</v>
      </c>
      <c r="AD652" s="1086" t="s">
        <v>248</v>
      </c>
      <c r="AE652" s="1086" t="s">
        <v>3883</v>
      </c>
      <c r="AF652" s="1086">
        <f t="shared" si="41"/>
        <v>7430.9000000000087</v>
      </c>
      <c r="AG652" s="1086">
        <f t="shared" si="40"/>
        <v>-9.0949470177292824E-12</v>
      </c>
      <c r="AQ652" s="1086">
        <v>0</v>
      </c>
      <c r="AR652" s="1086">
        <v>0</v>
      </c>
      <c r="AS652" s="1086">
        <v>7430.9</v>
      </c>
      <c r="AT652" s="1086">
        <f t="shared" si="42"/>
        <v>0</v>
      </c>
      <c r="AV652" s="1150">
        <f t="shared" si="43"/>
        <v>69994.8</v>
      </c>
    </row>
    <row r="653" spans="1:48" x14ac:dyDescent="0.2">
      <c r="A653" s="19">
        <v>665</v>
      </c>
      <c r="B653" t="s">
        <v>1953</v>
      </c>
      <c r="C653" t="s">
        <v>2076</v>
      </c>
      <c r="D653" t="s">
        <v>1036</v>
      </c>
      <c r="E653" t="s">
        <v>2147</v>
      </c>
      <c r="F653" t="s">
        <v>2344</v>
      </c>
      <c r="G653" t="s">
        <v>1250</v>
      </c>
      <c r="H653" t="s">
        <v>3825</v>
      </c>
      <c r="I653">
        <v>0</v>
      </c>
      <c r="L653" t="s">
        <v>3158</v>
      </c>
      <c r="M653" s="1086">
        <v>14346.19</v>
      </c>
      <c r="N653" s="1086">
        <v>0</v>
      </c>
      <c r="O653" s="1086">
        <v>0</v>
      </c>
      <c r="P653" s="1086">
        <v>0</v>
      </c>
      <c r="Q653" s="1086">
        <v>0</v>
      </c>
      <c r="R653" s="1086">
        <v>0</v>
      </c>
      <c r="S653" s="1086">
        <v>0</v>
      </c>
      <c r="T653" s="1086">
        <v>0</v>
      </c>
      <c r="U653" s="1086">
        <v>14346.19</v>
      </c>
      <c r="V653" s="1086">
        <v>0</v>
      </c>
      <c r="W653" s="1086">
        <v>0</v>
      </c>
      <c r="X653" s="1086">
        <v>0</v>
      </c>
      <c r="Y653" s="1086">
        <v>0</v>
      </c>
      <c r="Z653" s="1086">
        <v>0</v>
      </c>
      <c r="AA653" s="1086">
        <v>0</v>
      </c>
      <c r="AB653" s="1086">
        <v>0</v>
      </c>
      <c r="AC653" s="1086">
        <v>0</v>
      </c>
      <c r="AD653" s="1086" t="s">
        <v>248</v>
      </c>
      <c r="AE653" s="1086" t="s">
        <v>3883</v>
      </c>
      <c r="AF653" s="1086">
        <f t="shared" si="41"/>
        <v>0</v>
      </c>
      <c r="AG653" s="1086">
        <f t="shared" si="40"/>
        <v>0</v>
      </c>
      <c r="AQ653" s="1086">
        <v>0</v>
      </c>
      <c r="AR653" s="1086">
        <v>0</v>
      </c>
      <c r="AS653" s="1086">
        <v>0</v>
      </c>
      <c r="AT653" s="1086">
        <f t="shared" si="42"/>
        <v>0</v>
      </c>
      <c r="AV653" s="1150">
        <f t="shared" si="43"/>
        <v>14346.19</v>
      </c>
    </row>
    <row r="654" spans="1:48" x14ac:dyDescent="0.2">
      <c r="A654" s="19">
        <v>666</v>
      </c>
      <c r="B654" t="s">
        <v>1954</v>
      </c>
      <c r="C654" t="s">
        <v>2076</v>
      </c>
      <c r="D654" t="s">
        <v>1041</v>
      </c>
      <c r="E654" t="s">
        <v>2232</v>
      </c>
      <c r="F654" t="s">
        <v>2426</v>
      </c>
      <c r="G654" t="s">
        <v>1250</v>
      </c>
      <c r="H654" t="s">
        <v>3825</v>
      </c>
      <c r="I654" t="s">
        <v>3846</v>
      </c>
      <c r="J654" t="s">
        <v>3255</v>
      </c>
      <c r="K654" t="s">
        <v>3718</v>
      </c>
      <c r="L654" t="s">
        <v>3159</v>
      </c>
      <c r="M654" s="1086">
        <v>38855.24</v>
      </c>
      <c r="N654" s="1086">
        <v>0</v>
      </c>
      <c r="O654" s="1086">
        <v>0</v>
      </c>
      <c r="P654" s="1086">
        <v>0</v>
      </c>
      <c r="Q654" s="1086">
        <v>0</v>
      </c>
      <c r="R654" s="1086">
        <v>0</v>
      </c>
      <c r="S654" s="1086">
        <v>0</v>
      </c>
      <c r="T654" s="1086">
        <v>0</v>
      </c>
      <c r="U654" s="1086">
        <v>1140.05</v>
      </c>
      <c r="V654" s="1086">
        <v>0</v>
      </c>
      <c r="W654" s="1086">
        <v>12.94</v>
      </c>
      <c r="X654" s="1086">
        <v>0</v>
      </c>
      <c r="Y654" s="1086">
        <v>0</v>
      </c>
      <c r="Z654" s="1086">
        <v>0</v>
      </c>
      <c r="AA654" s="1086">
        <v>0</v>
      </c>
      <c r="AB654" s="1086">
        <v>0</v>
      </c>
      <c r="AC654" s="1086">
        <v>37702.25</v>
      </c>
      <c r="AD654" s="1086" t="s">
        <v>248</v>
      </c>
      <c r="AE654" s="1086" t="s">
        <v>3883</v>
      </c>
      <c r="AF654" s="1086">
        <f t="shared" si="41"/>
        <v>37702.25</v>
      </c>
      <c r="AG654" s="1086">
        <f t="shared" si="40"/>
        <v>0</v>
      </c>
      <c r="AQ654" s="1086">
        <v>0</v>
      </c>
      <c r="AR654" s="1086">
        <v>0</v>
      </c>
      <c r="AS654" s="1086">
        <v>37702.25</v>
      </c>
      <c r="AT654" s="1086">
        <f t="shared" si="42"/>
        <v>0</v>
      </c>
      <c r="AV654" s="1150">
        <f t="shared" si="43"/>
        <v>1152.99</v>
      </c>
    </row>
    <row r="655" spans="1:48" x14ac:dyDescent="0.2">
      <c r="A655" s="19">
        <v>667</v>
      </c>
      <c r="B655" t="s">
        <v>1955</v>
      </c>
      <c r="C655" t="s">
        <v>2076</v>
      </c>
      <c r="D655" t="s">
        <v>1041</v>
      </c>
      <c r="E655" t="s">
        <v>2232</v>
      </c>
      <c r="F655" t="s">
        <v>2426</v>
      </c>
      <c r="G655" t="s">
        <v>1250</v>
      </c>
      <c r="H655" t="s">
        <v>3824</v>
      </c>
      <c r="I655" t="s">
        <v>3251</v>
      </c>
      <c r="J655" t="s">
        <v>3251</v>
      </c>
      <c r="K655" t="s">
        <v>3251</v>
      </c>
      <c r="L655" t="s">
        <v>3160</v>
      </c>
      <c r="M655" s="1086">
        <v>0</v>
      </c>
      <c r="N655" s="1086">
        <v>50000</v>
      </c>
      <c r="O655" s="1086">
        <v>0</v>
      </c>
      <c r="P655" s="1086">
        <v>20871.18</v>
      </c>
      <c r="Q655" s="1086">
        <v>0</v>
      </c>
      <c r="R655" s="1086">
        <v>0</v>
      </c>
      <c r="S655" s="1086">
        <v>0</v>
      </c>
      <c r="T655" s="1086">
        <v>7556.65</v>
      </c>
      <c r="U655" s="1086">
        <v>13980</v>
      </c>
      <c r="V655" s="1086">
        <v>0</v>
      </c>
      <c r="W655" s="1086">
        <v>0</v>
      </c>
      <c r="X655" s="1086">
        <v>0</v>
      </c>
      <c r="Y655" s="1086">
        <v>0</v>
      </c>
      <c r="Z655" s="1086">
        <v>0</v>
      </c>
      <c r="AA655" s="1086">
        <v>0</v>
      </c>
      <c r="AB655" s="1086">
        <v>0</v>
      </c>
      <c r="AC655" s="1086">
        <v>7592.17</v>
      </c>
      <c r="AD655" s="1086" t="s">
        <v>248</v>
      </c>
      <c r="AE655" s="1086" t="s">
        <v>3883</v>
      </c>
      <c r="AF655" s="1086">
        <f t="shared" si="41"/>
        <v>7592.1699999999983</v>
      </c>
      <c r="AG655" s="1086">
        <f t="shared" si="40"/>
        <v>0</v>
      </c>
      <c r="AQ655" s="1086">
        <v>0</v>
      </c>
      <c r="AR655" s="1086">
        <v>0</v>
      </c>
      <c r="AS655" s="1086">
        <v>7592.17</v>
      </c>
      <c r="AT655" s="1086">
        <f t="shared" si="42"/>
        <v>0</v>
      </c>
      <c r="AV655" s="1150">
        <f t="shared" si="43"/>
        <v>42407.83</v>
      </c>
    </row>
    <row r="656" spans="1:48" x14ac:dyDescent="0.2">
      <c r="A656" s="19">
        <v>669</v>
      </c>
      <c r="B656" t="s">
        <v>1956</v>
      </c>
      <c r="C656" t="s">
        <v>2076</v>
      </c>
      <c r="D656" t="s">
        <v>1046</v>
      </c>
      <c r="E656" t="s">
        <v>2152</v>
      </c>
      <c r="F656" t="s">
        <v>2349</v>
      </c>
      <c r="G656" t="s">
        <v>1250</v>
      </c>
      <c r="H656" t="s">
        <v>3825</v>
      </c>
      <c r="I656" t="s">
        <v>3846</v>
      </c>
      <c r="J656" t="s">
        <v>3398</v>
      </c>
      <c r="K656" t="s">
        <v>3719</v>
      </c>
      <c r="L656" t="s">
        <v>3161</v>
      </c>
      <c r="M656" s="1086">
        <v>39689.78</v>
      </c>
      <c r="N656" s="1086">
        <v>40000</v>
      </c>
      <c r="O656" s="1086">
        <v>0</v>
      </c>
      <c r="P656" s="1086">
        <v>40540</v>
      </c>
      <c r="Q656" s="1086">
        <v>0</v>
      </c>
      <c r="R656" s="1086">
        <v>0</v>
      </c>
      <c r="S656" s="1086">
        <v>1643.1</v>
      </c>
      <c r="T656" s="1086">
        <v>4900.3599999999997</v>
      </c>
      <c r="U656" s="1086">
        <v>10137.09</v>
      </c>
      <c r="V656" s="1086">
        <v>0</v>
      </c>
      <c r="W656" s="1086">
        <v>153.94</v>
      </c>
      <c r="X656" s="1086">
        <v>0</v>
      </c>
      <c r="Y656" s="1086">
        <v>0</v>
      </c>
      <c r="Z656" s="1086">
        <v>0</v>
      </c>
      <c r="AA656" s="1086">
        <v>0</v>
      </c>
      <c r="AB656" s="1086">
        <v>0</v>
      </c>
      <c r="AC656" s="1086">
        <v>22315.29</v>
      </c>
      <c r="AD656" s="1086" t="s">
        <v>248</v>
      </c>
      <c r="AE656" s="1086" t="s">
        <v>3883</v>
      </c>
      <c r="AF656" s="1086">
        <f t="shared" si="41"/>
        <v>22315.289999999994</v>
      </c>
      <c r="AG656" s="1086">
        <f t="shared" si="40"/>
        <v>0</v>
      </c>
      <c r="AQ656" s="1086">
        <v>0</v>
      </c>
      <c r="AR656" s="1086">
        <v>0</v>
      </c>
      <c r="AS656" s="1086">
        <v>22315.29</v>
      </c>
      <c r="AT656" s="1086">
        <f t="shared" si="42"/>
        <v>0</v>
      </c>
      <c r="AV656" s="1150">
        <f t="shared" si="43"/>
        <v>57374.490000000005</v>
      </c>
    </row>
    <row r="657" spans="1:48" x14ac:dyDescent="0.2">
      <c r="A657" s="19">
        <v>670</v>
      </c>
      <c r="B657" t="s">
        <v>1957</v>
      </c>
      <c r="C657" t="s">
        <v>2076</v>
      </c>
      <c r="D657" t="s">
        <v>1046</v>
      </c>
      <c r="E657" t="s">
        <v>2152</v>
      </c>
      <c r="F657" t="s">
        <v>2349</v>
      </c>
      <c r="G657" t="s">
        <v>1250</v>
      </c>
      <c r="H657" t="s">
        <v>3825</v>
      </c>
      <c r="I657" t="s">
        <v>3846</v>
      </c>
      <c r="J657" t="s">
        <v>3398</v>
      </c>
      <c r="K657" t="s">
        <v>3720</v>
      </c>
      <c r="L657" t="s">
        <v>3162</v>
      </c>
      <c r="M657" s="1086">
        <v>10137.39</v>
      </c>
      <c r="N657" s="1086">
        <v>30000</v>
      </c>
      <c r="O657" s="1086">
        <v>0</v>
      </c>
      <c r="P657" s="1086">
        <v>14079.26</v>
      </c>
      <c r="Q657" s="1086">
        <v>0</v>
      </c>
      <c r="R657" s="1086">
        <v>0</v>
      </c>
      <c r="S657" s="1086">
        <v>0</v>
      </c>
      <c r="T657" s="1086">
        <v>546.79</v>
      </c>
      <c r="U657" s="1086">
        <v>6000</v>
      </c>
      <c r="V657" s="1086">
        <v>0</v>
      </c>
      <c r="W657" s="1086">
        <v>0</v>
      </c>
      <c r="X657" s="1086">
        <v>0</v>
      </c>
      <c r="Y657" s="1086">
        <v>0</v>
      </c>
      <c r="Z657" s="1086">
        <v>0</v>
      </c>
      <c r="AA657" s="1086">
        <v>0</v>
      </c>
      <c r="AB657" s="1086">
        <v>0</v>
      </c>
      <c r="AC657" s="1086">
        <v>19511.34</v>
      </c>
      <c r="AD657" s="1086" t="s">
        <v>248</v>
      </c>
      <c r="AE657" s="1086" t="s">
        <v>3883</v>
      </c>
      <c r="AF657" s="1086">
        <f t="shared" si="41"/>
        <v>19511.34</v>
      </c>
      <c r="AG657" s="1086">
        <f t="shared" si="40"/>
        <v>0</v>
      </c>
      <c r="AQ657" s="1086">
        <v>0</v>
      </c>
      <c r="AR657" s="1086">
        <v>0</v>
      </c>
      <c r="AS657" s="1086">
        <v>19511.34</v>
      </c>
      <c r="AT657" s="1086">
        <f t="shared" si="42"/>
        <v>0</v>
      </c>
      <c r="AV657" s="1150">
        <f t="shared" si="43"/>
        <v>20626.05</v>
      </c>
    </row>
    <row r="658" spans="1:48" x14ac:dyDescent="0.2">
      <c r="A658" s="19">
        <v>671</v>
      </c>
      <c r="B658" t="s">
        <v>1958</v>
      </c>
      <c r="C658" t="s">
        <v>2076</v>
      </c>
      <c r="D658" t="s">
        <v>1046</v>
      </c>
      <c r="E658" t="s">
        <v>2152</v>
      </c>
      <c r="F658" t="s">
        <v>2349</v>
      </c>
      <c r="G658" t="s">
        <v>1250</v>
      </c>
      <c r="H658" t="s">
        <v>3825</v>
      </c>
      <c r="I658" t="s">
        <v>3846</v>
      </c>
      <c r="J658" t="s">
        <v>3398</v>
      </c>
      <c r="K658" t="s">
        <v>3721</v>
      </c>
      <c r="L658" t="s">
        <v>3163</v>
      </c>
      <c r="M658" s="1086">
        <v>45654.73</v>
      </c>
      <c r="N658" s="1086">
        <v>14800</v>
      </c>
      <c r="O658" s="1086">
        <v>78866.5</v>
      </c>
      <c r="P658" s="1086">
        <v>10899.55</v>
      </c>
      <c r="Q658" s="1086">
        <v>0</v>
      </c>
      <c r="R658" s="1086">
        <v>0</v>
      </c>
      <c r="S658" s="1086">
        <v>100</v>
      </c>
      <c r="T658" s="1086">
        <v>344.78</v>
      </c>
      <c r="U658" s="1086">
        <v>2740</v>
      </c>
      <c r="V658" s="1086">
        <v>0</v>
      </c>
      <c r="W658" s="1086">
        <v>0</v>
      </c>
      <c r="X658" s="1086">
        <v>0</v>
      </c>
      <c r="Y658" s="1086">
        <v>0</v>
      </c>
      <c r="Z658" s="1086">
        <v>0</v>
      </c>
      <c r="AA658" s="1086">
        <v>0</v>
      </c>
      <c r="AB658" s="1086">
        <v>0</v>
      </c>
      <c r="AC658" s="1086">
        <v>125236.9</v>
      </c>
      <c r="AD658" s="1086" t="s">
        <v>248</v>
      </c>
      <c r="AE658" s="1086" t="s">
        <v>3883</v>
      </c>
      <c r="AF658" s="1086">
        <f t="shared" si="41"/>
        <v>125236.90000000001</v>
      </c>
      <c r="AG658" s="1086">
        <f t="shared" si="40"/>
        <v>0</v>
      </c>
      <c r="AQ658" s="1086">
        <v>0</v>
      </c>
      <c r="AR658" s="1086">
        <v>0</v>
      </c>
      <c r="AS658" s="1086">
        <v>125236.9</v>
      </c>
      <c r="AT658" s="1086">
        <f t="shared" si="42"/>
        <v>0</v>
      </c>
      <c r="AV658" s="1150">
        <f t="shared" si="43"/>
        <v>14084.33</v>
      </c>
    </row>
    <row r="659" spans="1:48" x14ac:dyDescent="0.2">
      <c r="A659" s="19">
        <v>672</v>
      </c>
      <c r="B659" t="s">
        <v>1959</v>
      </c>
      <c r="C659" t="s">
        <v>2076</v>
      </c>
      <c r="D659" t="s">
        <v>1046</v>
      </c>
      <c r="E659" t="s">
        <v>2152</v>
      </c>
      <c r="F659" t="s">
        <v>2349</v>
      </c>
      <c r="G659" t="s">
        <v>1250</v>
      </c>
      <c r="H659" t="s">
        <v>3825</v>
      </c>
      <c r="I659" t="s">
        <v>3846</v>
      </c>
      <c r="J659" t="s">
        <v>3398</v>
      </c>
      <c r="K659" t="s">
        <v>3722</v>
      </c>
      <c r="L659" t="s">
        <v>3164</v>
      </c>
      <c r="M659" s="1086">
        <v>2355.19</v>
      </c>
      <c r="N659" s="1086">
        <v>9000</v>
      </c>
      <c r="O659" s="1086">
        <v>0</v>
      </c>
      <c r="P659" s="1086">
        <v>7198.18</v>
      </c>
      <c r="Q659" s="1086">
        <v>0</v>
      </c>
      <c r="R659" s="1086">
        <v>0</v>
      </c>
      <c r="S659" s="1086">
        <v>0</v>
      </c>
      <c r="T659" s="1086">
        <v>226.77</v>
      </c>
      <c r="U659" s="1086">
        <v>0</v>
      </c>
      <c r="V659" s="1086">
        <v>0</v>
      </c>
      <c r="W659" s="1086">
        <v>0</v>
      </c>
      <c r="X659" s="1086">
        <v>0</v>
      </c>
      <c r="Y659" s="1086">
        <v>0</v>
      </c>
      <c r="Z659" s="1086">
        <v>0</v>
      </c>
      <c r="AA659" s="1086">
        <v>0</v>
      </c>
      <c r="AB659" s="1086">
        <v>0</v>
      </c>
      <c r="AC659" s="1086">
        <v>3930.24</v>
      </c>
      <c r="AD659" s="1086" t="s">
        <v>248</v>
      </c>
      <c r="AE659" s="1086" t="s">
        <v>3883</v>
      </c>
      <c r="AF659" s="1086">
        <f t="shared" si="41"/>
        <v>3930.24</v>
      </c>
      <c r="AG659" s="1086">
        <f t="shared" si="40"/>
        <v>0</v>
      </c>
      <c r="AQ659" s="1086">
        <v>0</v>
      </c>
      <c r="AR659" s="1086">
        <v>0</v>
      </c>
      <c r="AS659" s="1086">
        <v>3930.24</v>
      </c>
      <c r="AT659" s="1086">
        <f t="shared" si="42"/>
        <v>0</v>
      </c>
      <c r="AV659" s="1150">
        <f t="shared" si="43"/>
        <v>7424.9500000000007</v>
      </c>
    </row>
    <row r="660" spans="1:48" x14ac:dyDescent="0.2">
      <c r="A660" s="19">
        <v>673</v>
      </c>
      <c r="B660" t="s">
        <v>1960</v>
      </c>
      <c r="C660" t="s">
        <v>2076</v>
      </c>
      <c r="D660" t="s">
        <v>1034</v>
      </c>
      <c r="E660" t="s">
        <v>2267</v>
      </c>
      <c r="F660" t="s">
        <v>2460</v>
      </c>
      <c r="G660" t="s">
        <v>3833</v>
      </c>
      <c r="H660" t="s">
        <v>3822</v>
      </c>
      <c r="I660" t="s">
        <v>3846</v>
      </c>
      <c r="J660" t="s">
        <v>3343</v>
      </c>
      <c r="K660" t="s">
        <v>3723</v>
      </c>
      <c r="L660" t="s">
        <v>3165</v>
      </c>
      <c r="M660" s="1086">
        <v>159057.73000000001</v>
      </c>
      <c r="N660" s="1086">
        <v>115490.33</v>
      </c>
      <c r="O660" s="1086">
        <v>0</v>
      </c>
      <c r="P660" s="1086">
        <v>107243.36</v>
      </c>
      <c r="Q660" s="1086">
        <v>0</v>
      </c>
      <c r="R660" s="1086">
        <v>0</v>
      </c>
      <c r="S660" s="1086">
        <v>0</v>
      </c>
      <c r="T660" s="1086">
        <v>22868.83</v>
      </c>
      <c r="U660" s="1086">
        <v>0</v>
      </c>
      <c r="V660" s="1086">
        <v>0</v>
      </c>
      <c r="W660" s="1086">
        <v>0</v>
      </c>
      <c r="X660" s="1086">
        <v>0</v>
      </c>
      <c r="Y660" s="1086">
        <v>0</v>
      </c>
      <c r="Z660" s="1086">
        <v>0</v>
      </c>
      <c r="AA660" s="1086">
        <v>0</v>
      </c>
      <c r="AB660" s="1086">
        <v>0</v>
      </c>
      <c r="AC660" s="1086">
        <v>144435.87</v>
      </c>
      <c r="AD660" s="1103" t="s">
        <v>1251</v>
      </c>
      <c r="AE660" s="1086" t="s">
        <v>3885</v>
      </c>
      <c r="AF660" s="1086">
        <f t="shared" si="41"/>
        <v>144435.87</v>
      </c>
      <c r="AG660" s="1086">
        <f t="shared" si="40"/>
        <v>0</v>
      </c>
      <c r="AQ660" s="1086">
        <v>0</v>
      </c>
      <c r="AR660" s="1086">
        <v>0</v>
      </c>
      <c r="AS660" s="1086">
        <v>144435.87</v>
      </c>
      <c r="AT660" s="1086">
        <f t="shared" si="42"/>
        <v>0</v>
      </c>
      <c r="AV660" s="1150">
        <f t="shared" si="43"/>
        <v>130112.19</v>
      </c>
    </row>
    <row r="661" spans="1:48" x14ac:dyDescent="0.2">
      <c r="A661" s="19">
        <v>674</v>
      </c>
      <c r="B661" t="s">
        <v>1961</v>
      </c>
      <c r="C661" t="s">
        <v>2076</v>
      </c>
      <c r="D661" t="s">
        <v>1034</v>
      </c>
      <c r="E661" t="s">
        <v>2267</v>
      </c>
      <c r="F661" t="s">
        <v>2460</v>
      </c>
      <c r="G661" t="s">
        <v>3833</v>
      </c>
      <c r="H661" t="s">
        <v>3825</v>
      </c>
      <c r="I661" t="s">
        <v>3846</v>
      </c>
      <c r="J661" t="s">
        <v>3343</v>
      </c>
      <c r="K661" t="s">
        <v>3724</v>
      </c>
      <c r="L661" t="s">
        <v>3166</v>
      </c>
      <c r="M661" s="1086">
        <v>38742.32</v>
      </c>
      <c r="N661" s="1086">
        <v>14033.72</v>
      </c>
      <c r="O661" s="1086">
        <v>0</v>
      </c>
      <c r="P661" s="1086">
        <v>21114</v>
      </c>
      <c r="Q661" s="1086">
        <v>0</v>
      </c>
      <c r="R661" s="1086">
        <v>0</v>
      </c>
      <c r="S661" s="1086">
        <v>0</v>
      </c>
      <c r="T661" s="1086">
        <v>4575.2</v>
      </c>
      <c r="U661" s="1086">
        <v>5686.26</v>
      </c>
      <c r="V661" s="1086">
        <v>0</v>
      </c>
      <c r="W661" s="1086">
        <v>5598</v>
      </c>
      <c r="X661" s="1086">
        <v>0</v>
      </c>
      <c r="Y661" s="1086">
        <v>0</v>
      </c>
      <c r="Z661" s="1086">
        <v>0</v>
      </c>
      <c r="AA661" s="1086">
        <v>0</v>
      </c>
      <c r="AB661" s="1086">
        <v>0</v>
      </c>
      <c r="AC661" s="1086">
        <v>15802.58</v>
      </c>
      <c r="AD661" s="1103" t="s">
        <v>1251</v>
      </c>
      <c r="AE661" s="1086" t="s">
        <v>3885</v>
      </c>
      <c r="AF661" s="1086">
        <f t="shared" si="41"/>
        <v>15802.580000000002</v>
      </c>
      <c r="AG661" s="1086">
        <f t="shared" si="40"/>
        <v>0</v>
      </c>
      <c r="AQ661" s="1086">
        <v>0</v>
      </c>
      <c r="AR661" s="1086">
        <v>0</v>
      </c>
      <c r="AS661" s="1086">
        <v>15802.58</v>
      </c>
      <c r="AT661" s="1086">
        <f t="shared" si="42"/>
        <v>0</v>
      </c>
      <c r="AV661" s="1150">
        <f t="shared" si="43"/>
        <v>36973.46</v>
      </c>
    </row>
    <row r="662" spans="1:48" x14ac:dyDescent="0.2">
      <c r="A662" s="19">
        <v>675</v>
      </c>
      <c r="B662" t="s">
        <v>1962</v>
      </c>
      <c r="C662" t="s">
        <v>2076</v>
      </c>
      <c r="D662" t="s">
        <v>1034</v>
      </c>
      <c r="E662" t="s">
        <v>2267</v>
      </c>
      <c r="F662" t="s">
        <v>2460</v>
      </c>
      <c r="G662" t="s">
        <v>3833</v>
      </c>
      <c r="H662" t="s">
        <v>3822</v>
      </c>
      <c r="I662" t="s">
        <v>3846</v>
      </c>
      <c r="J662" t="s">
        <v>3343</v>
      </c>
      <c r="K662" t="s">
        <v>3725</v>
      </c>
      <c r="L662" t="s">
        <v>3167</v>
      </c>
      <c r="M662" s="1086">
        <v>1938.15</v>
      </c>
      <c r="N662" s="1086">
        <v>25899.46</v>
      </c>
      <c r="O662" s="1086">
        <v>0</v>
      </c>
      <c r="P662" s="1086">
        <v>21096.959999999999</v>
      </c>
      <c r="Q662" s="1086">
        <v>0</v>
      </c>
      <c r="R662" s="1086">
        <v>0</v>
      </c>
      <c r="S662" s="1086">
        <v>0</v>
      </c>
      <c r="T662" s="1086">
        <v>4471.3500000000004</v>
      </c>
      <c r="U662" s="1086">
        <v>0</v>
      </c>
      <c r="V662" s="1086">
        <v>0</v>
      </c>
      <c r="W662" s="1086">
        <v>0</v>
      </c>
      <c r="X662" s="1086">
        <v>0</v>
      </c>
      <c r="Y662" s="1086">
        <v>0</v>
      </c>
      <c r="Z662" s="1086">
        <v>0</v>
      </c>
      <c r="AA662" s="1086">
        <v>0</v>
      </c>
      <c r="AB662" s="1086">
        <v>0</v>
      </c>
      <c r="AC662" s="1086">
        <v>2269.3000000000002</v>
      </c>
      <c r="AD662" s="1103" t="s">
        <v>1251</v>
      </c>
      <c r="AE662" s="1086" t="s">
        <v>3885</v>
      </c>
      <c r="AF662" s="1086">
        <f t="shared" si="41"/>
        <v>2269.3000000000029</v>
      </c>
      <c r="AG662" s="1086">
        <f t="shared" si="40"/>
        <v>0</v>
      </c>
      <c r="AQ662" s="1086">
        <v>0</v>
      </c>
      <c r="AR662" s="1086">
        <v>0</v>
      </c>
      <c r="AS662" s="1086">
        <v>2269.3000000000002</v>
      </c>
      <c r="AT662" s="1086">
        <f t="shared" si="42"/>
        <v>0</v>
      </c>
      <c r="AV662" s="1150">
        <f t="shared" si="43"/>
        <v>25568.309999999998</v>
      </c>
    </row>
    <row r="663" spans="1:48" x14ac:dyDescent="0.2">
      <c r="A663" s="19">
        <v>676</v>
      </c>
      <c r="B663" t="s">
        <v>1963</v>
      </c>
      <c r="C663" t="s">
        <v>2076</v>
      </c>
      <c r="D663" t="s">
        <v>1034</v>
      </c>
      <c r="E663" t="s">
        <v>2267</v>
      </c>
      <c r="F663" t="s">
        <v>2460</v>
      </c>
      <c r="G663" t="s">
        <v>3833</v>
      </c>
      <c r="H663" t="s">
        <v>3822</v>
      </c>
      <c r="I663" t="s">
        <v>3846</v>
      </c>
      <c r="J663" t="s">
        <v>3343</v>
      </c>
      <c r="K663" t="s">
        <v>3726</v>
      </c>
      <c r="L663" t="s">
        <v>3168</v>
      </c>
      <c r="M663" s="1086">
        <v>1650.11</v>
      </c>
      <c r="N663" s="1086">
        <v>25000</v>
      </c>
      <c r="O663" s="1086">
        <v>0</v>
      </c>
      <c r="P663" s="1086">
        <v>21097.08</v>
      </c>
      <c r="Q663" s="1086">
        <v>0</v>
      </c>
      <c r="R663" s="1086">
        <v>0</v>
      </c>
      <c r="S663" s="1086">
        <v>0</v>
      </c>
      <c r="T663" s="1086">
        <v>4761.8999999999996</v>
      </c>
      <c r="U663" s="1086">
        <v>0</v>
      </c>
      <c r="V663" s="1086">
        <v>0</v>
      </c>
      <c r="W663" s="1086">
        <v>0</v>
      </c>
      <c r="X663" s="1086">
        <v>0</v>
      </c>
      <c r="Y663" s="1086">
        <v>0</v>
      </c>
      <c r="Z663" s="1086">
        <v>0</v>
      </c>
      <c r="AA663" s="1086">
        <v>0</v>
      </c>
      <c r="AB663" s="1086">
        <v>0</v>
      </c>
      <c r="AC663" s="1086">
        <v>791.13</v>
      </c>
      <c r="AD663" s="1103" t="s">
        <v>1251</v>
      </c>
      <c r="AE663" s="1086" t="s">
        <v>3885</v>
      </c>
      <c r="AF663" s="1086">
        <f t="shared" si="41"/>
        <v>791.12999999999738</v>
      </c>
      <c r="AG663" s="1086">
        <f t="shared" si="40"/>
        <v>2.6147972675971687E-12</v>
      </c>
      <c r="AQ663" s="1086">
        <v>0</v>
      </c>
      <c r="AR663" s="1086">
        <v>0</v>
      </c>
      <c r="AS663" s="1086">
        <v>791.13</v>
      </c>
      <c r="AT663" s="1086">
        <f t="shared" si="42"/>
        <v>0</v>
      </c>
      <c r="AV663" s="1150">
        <f t="shared" si="43"/>
        <v>25858.980000000003</v>
      </c>
    </row>
    <row r="664" spans="1:48" x14ac:dyDescent="0.2">
      <c r="A664" s="19">
        <v>677</v>
      </c>
      <c r="B664" t="s">
        <v>1964</v>
      </c>
      <c r="C664" t="s">
        <v>2076</v>
      </c>
      <c r="D664" t="s">
        <v>1034</v>
      </c>
      <c r="E664" t="s">
        <v>2267</v>
      </c>
      <c r="F664" t="s">
        <v>2460</v>
      </c>
      <c r="G664" t="s">
        <v>3833</v>
      </c>
      <c r="H664" t="s">
        <v>3822</v>
      </c>
      <c r="I664" t="s">
        <v>3846</v>
      </c>
      <c r="J664" t="s">
        <v>3343</v>
      </c>
      <c r="K664" t="s">
        <v>3727</v>
      </c>
      <c r="L664" t="s">
        <v>3169</v>
      </c>
      <c r="M664" s="1086">
        <v>2112.5100000000002</v>
      </c>
      <c r="N664" s="1086">
        <v>50000</v>
      </c>
      <c r="O664" s="1086">
        <v>0</v>
      </c>
      <c r="P664" s="1086">
        <v>42193.75</v>
      </c>
      <c r="Q664" s="1086">
        <v>0</v>
      </c>
      <c r="R664" s="1086">
        <v>0</v>
      </c>
      <c r="S664" s="1086">
        <v>0</v>
      </c>
      <c r="T664" s="1086">
        <v>8350.5400000000009</v>
      </c>
      <c r="U664" s="1086">
        <v>0</v>
      </c>
      <c r="V664" s="1086">
        <v>0</v>
      </c>
      <c r="W664" s="1086">
        <v>0</v>
      </c>
      <c r="X664" s="1086">
        <v>0</v>
      </c>
      <c r="Y664" s="1086">
        <v>0</v>
      </c>
      <c r="Z664" s="1086">
        <v>0</v>
      </c>
      <c r="AA664" s="1086">
        <v>0</v>
      </c>
      <c r="AB664" s="1086">
        <v>0</v>
      </c>
      <c r="AC664" s="1086">
        <v>1568.22</v>
      </c>
      <c r="AD664" s="1103" t="s">
        <v>1251</v>
      </c>
      <c r="AE664" s="1086" t="s">
        <v>3885</v>
      </c>
      <c r="AF664" s="1086">
        <f t="shared" si="41"/>
        <v>1568.2200000000012</v>
      </c>
      <c r="AG664" s="1086">
        <f t="shared" si="40"/>
        <v>0</v>
      </c>
      <c r="AQ664" s="1086">
        <v>0</v>
      </c>
      <c r="AR664" s="1086">
        <v>0</v>
      </c>
      <c r="AS664" s="1086">
        <v>1568.22</v>
      </c>
      <c r="AT664" s="1086">
        <f t="shared" si="42"/>
        <v>0</v>
      </c>
      <c r="AV664" s="1150">
        <f t="shared" si="43"/>
        <v>50544.29</v>
      </c>
    </row>
    <row r="665" spans="1:48" x14ac:dyDescent="0.2">
      <c r="A665" s="19">
        <v>678</v>
      </c>
      <c r="B665" t="s">
        <v>1965</v>
      </c>
      <c r="C665" t="s">
        <v>2076</v>
      </c>
      <c r="D665" t="s">
        <v>1034</v>
      </c>
      <c r="E665" t="s">
        <v>2267</v>
      </c>
      <c r="F665" t="s">
        <v>2460</v>
      </c>
      <c r="G665" t="s">
        <v>3833</v>
      </c>
      <c r="H665" t="s">
        <v>3825</v>
      </c>
      <c r="I665" t="s">
        <v>3846</v>
      </c>
      <c r="J665" t="s">
        <v>3343</v>
      </c>
      <c r="K665" t="s">
        <v>3728</v>
      </c>
      <c r="L665" t="s">
        <v>3170</v>
      </c>
      <c r="M665" s="1086">
        <v>14508.28</v>
      </c>
      <c r="N665" s="1086">
        <v>0</v>
      </c>
      <c r="O665" s="1086">
        <v>0</v>
      </c>
      <c r="P665" s="1086">
        <v>8430.36</v>
      </c>
      <c r="Q665" s="1086">
        <v>0</v>
      </c>
      <c r="R665" s="1086">
        <v>0</v>
      </c>
      <c r="S665" s="1086">
        <v>0</v>
      </c>
      <c r="T665" s="1086">
        <v>1940.86</v>
      </c>
      <c r="U665" s="1086">
        <v>0</v>
      </c>
      <c r="V665" s="1086">
        <v>0</v>
      </c>
      <c r="W665" s="1086">
        <v>0</v>
      </c>
      <c r="X665" s="1086">
        <v>0</v>
      </c>
      <c r="Y665" s="1086">
        <v>0</v>
      </c>
      <c r="Z665" s="1086">
        <v>0</v>
      </c>
      <c r="AA665" s="1086">
        <v>0</v>
      </c>
      <c r="AB665" s="1086">
        <v>0</v>
      </c>
      <c r="AC665" s="1086">
        <v>4137.0600000000004</v>
      </c>
      <c r="AD665" s="1103" t="s">
        <v>1251</v>
      </c>
      <c r="AE665" s="1086" t="s">
        <v>3885</v>
      </c>
      <c r="AF665" s="1086">
        <f t="shared" si="41"/>
        <v>4137.0599999999995</v>
      </c>
      <c r="AG665" s="1086">
        <f t="shared" si="40"/>
        <v>0</v>
      </c>
      <c r="AQ665" s="1086">
        <v>0</v>
      </c>
      <c r="AR665" s="1086">
        <v>0</v>
      </c>
      <c r="AS665" s="1086">
        <v>4137.0600000000004</v>
      </c>
      <c r="AT665" s="1086">
        <f t="shared" si="42"/>
        <v>0</v>
      </c>
      <c r="AV665" s="1150">
        <f t="shared" si="43"/>
        <v>10371.220000000001</v>
      </c>
    </row>
    <row r="666" spans="1:48" x14ac:dyDescent="0.2">
      <c r="A666" s="19">
        <v>679</v>
      </c>
      <c r="B666" t="s">
        <v>1966</v>
      </c>
      <c r="C666" t="s">
        <v>2076</v>
      </c>
      <c r="D666" t="s">
        <v>1034</v>
      </c>
      <c r="E666" t="s">
        <v>2267</v>
      </c>
      <c r="F666" t="s">
        <v>2460</v>
      </c>
      <c r="G666" t="s">
        <v>3833</v>
      </c>
      <c r="H666" t="s">
        <v>3825</v>
      </c>
      <c r="I666" t="s">
        <v>3846</v>
      </c>
      <c r="J666" t="s">
        <v>3343</v>
      </c>
      <c r="K666" t="s">
        <v>3729</v>
      </c>
      <c r="L666" t="s">
        <v>3171</v>
      </c>
      <c r="M666" s="1086">
        <v>117868.73</v>
      </c>
      <c r="N666" s="1086">
        <v>21381.81</v>
      </c>
      <c r="O666" s="1086">
        <v>0</v>
      </c>
      <c r="P666" s="1086">
        <v>0</v>
      </c>
      <c r="Q666" s="1086">
        <v>0</v>
      </c>
      <c r="R666" s="1086">
        <v>0</v>
      </c>
      <c r="S666" s="1086">
        <v>2628</v>
      </c>
      <c r="T666" s="1086">
        <v>47.69</v>
      </c>
      <c r="U666" s="1086">
        <v>23078.82</v>
      </c>
      <c r="V666" s="1086">
        <v>0</v>
      </c>
      <c r="W666" s="1086">
        <v>19561.900000000001</v>
      </c>
      <c r="X666" s="1086">
        <v>55132.44</v>
      </c>
      <c r="Y666" s="1086">
        <v>0</v>
      </c>
      <c r="Z666" s="1086">
        <v>0</v>
      </c>
      <c r="AA666" s="1086">
        <v>0</v>
      </c>
      <c r="AB666" s="1086">
        <v>0</v>
      </c>
      <c r="AC666" s="1086">
        <v>38801.69</v>
      </c>
      <c r="AD666" s="1103" t="s">
        <v>1251</v>
      </c>
      <c r="AE666" s="1086" t="s">
        <v>3885</v>
      </c>
      <c r="AF666" s="1086">
        <f t="shared" si="41"/>
        <v>38801.69</v>
      </c>
      <c r="AG666" s="1086">
        <f t="shared" si="40"/>
        <v>0</v>
      </c>
      <c r="AQ666" s="1086">
        <v>0</v>
      </c>
      <c r="AR666" s="1086">
        <v>0</v>
      </c>
      <c r="AS666" s="1086">
        <v>38801.69</v>
      </c>
      <c r="AT666" s="1086">
        <f t="shared" si="42"/>
        <v>0</v>
      </c>
      <c r="AV666" s="1150">
        <f t="shared" si="43"/>
        <v>100448.85</v>
      </c>
    </row>
    <row r="667" spans="1:48" x14ac:dyDescent="0.2">
      <c r="A667" s="19">
        <v>680</v>
      </c>
      <c r="B667" t="s">
        <v>1967</v>
      </c>
      <c r="C667" t="s">
        <v>2076</v>
      </c>
      <c r="D667" t="s">
        <v>1034</v>
      </c>
      <c r="E667" t="s">
        <v>2267</v>
      </c>
      <c r="F667" t="s">
        <v>2460</v>
      </c>
      <c r="G667" t="s">
        <v>3833</v>
      </c>
      <c r="H667" t="s">
        <v>3822</v>
      </c>
      <c r="I667" t="s">
        <v>3846</v>
      </c>
      <c r="J667" t="s">
        <v>3343</v>
      </c>
      <c r="K667" t="s">
        <v>3730</v>
      </c>
      <c r="L667" t="s">
        <v>3172</v>
      </c>
      <c r="M667" s="1086">
        <v>14338.53</v>
      </c>
      <c r="N667" s="1086">
        <v>12000</v>
      </c>
      <c r="O667" s="1086">
        <v>0</v>
      </c>
      <c r="P667" s="1086">
        <v>21098.45</v>
      </c>
      <c r="Q667" s="1086">
        <v>0</v>
      </c>
      <c r="R667" s="1086">
        <v>0</v>
      </c>
      <c r="S667" s="1086">
        <v>0</v>
      </c>
      <c r="T667" s="1086">
        <v>4731.9799999999996</v>
      </c>
      <c r="U667" s="1086">
        <v>0</v>
      </c>
      <c r="V667" s="1086">
        <v>0</v>
      </c>
      <c r="W667" s="1086">
        <v>0</v>
      </c>
      <c r="X667" s="1086">
        <v>0</v>
      </c>
      <c r="Y667" s="1086">
        <v>0</v>
      </c>
      <c r="Z667" s="1086">
        <v>0</v>
      </c>
      <c r="AA667" s="1086">
        <v>0</v>
      </c>
      <c r="AB667" s="1086">
        <v>0</v>
      </c>
      <c r="AC667" s="1086">
        <v>508.1</v>
      </c>
      <c r="AD667" s="1103" t="s">
        <v>1251</v>
      </c>
      <c r="AE667" s="1086" t="s">
        <v>3885</v>
      </c>
      <c r="AF667" s="1086">
        <f t="shared" si="41"/>
        <v>508.09999999999854</v>
      </c>
      <c r="AG667" s="1086">
        <f t="shared" si="40"/>
        <v>1.4779288903810084E-12</v>
      </c>
      <c r="AQ667" s="1086">
        <v>0</v>
      </c>
      <c r="AR667" s="1086">
        <v>0</v>
      </c>
      <c r="AS667" s="1086">
        <v>508.1</v>
      </c>
      <c r="AT667" s="1086">
        <f t="shared" si="42"/>
        <v>0</v>
      </c>
      <c r="AV667" s="1150">
        <f t="shared" si="43"/>
        <v>25830.43</v>
      </c>
    </row>
    <row r="668" spans="1:48" x14ac:dyDescent="0.2">
      <c r="A668" s="19">
        <v>681</v>
      </c>
      <c r="B668" t="s">
        <v>1968</v>
      </c>
      <c r="C668" t="s">
        <v>2076</v>
      </c>
      <c r="D668" t="s">
        <v>1034</v>
      </c>
      <c r="E668" t="s">
        <v>2267</v>
      </c>
      <c r="F668" t="s">
        <v>2460</v>
      </c>
      <c r="G668" t="s">
        <v>3833</v>
      </c>
      <c r="H668" t="s">
        <v>3822</v>
      </c>
      <c r="I668" t="s">
        <v>3846</v>
      </c>
      <c r="J668" t="s">
        <v>3343</v>
      </c>
      <c r="K668" t="s">
        <v>3731</v>
      </c>
      <c r="L668" t="s">
        <v>3173</v>
      </c>
      <c r="M668" s="1086">
        <v>25973.27</v>
      </c>
      <c r="N668" s="1086">
        <v>1500</v>
      </c>
      <c r="O668" s="1086">
        <v>0</v>
      </c>
      <c r="P668" s="1086">
        <v>0</v>
      </c>
      <c r="Q668" s="1086">
        <v>0</v>
      </c>
      <c r="R668" s="1086">
        <v>0</v>
      </c>
      <c r="S668" s="1086">
        <v>0</v>
      </c>
      <c r="T668" s="1086">
        <v>0</v>
      </c>
      <c r="U668" s="1086">
        <v>0</v>
      </c>
      <c r="V668" s="1086">
        <v>0</v>
      </c>
      <c r="W668" s="1086">
        <v>0</v>
      </c>
      <c r="X668" s="1086">
        <v>0</v>
      </c>
      <c r="Y668" s="1086">
        <v>0</v>
      </c>
      <c r="Z668" s="1086">
        <v>0</v>
      </c>
      <c r="AA668" s="1086">
        <v>0</v>
      </c>
      <c r="AB668" s="1086">
        <v>0</v>
      </c>
      <c r="AC668" s="1086">
        <v>27473.27</v>
      </c>
      <c r="AD668" s="1103" t="s">
        <v>1251</v>
      </c>
      <c r="AE668" s="1086" t="s">
        <v>3885</v>
      </c>
      <c r="AF668" s="1086">
        <f t="shared" si="41"/>
        <v>27473.27</v>
      </c>
      <c r="AG668" s="1086">
        <f t="shared" si="40"/>
        <v>0</v>
      </c>
      <c r="AQ668" s="1086">
        <v>0</v>
      </c>
      <c r="AR668" s="1086">
        <v>0</v>
      </c>
      <c r="AS668" s="1086">
        <v>27473.27</v>
      </c>
      <c r="AT668" s="1086">
        <f t="shared" si="42"/>
        <v>0</v>
      </c>
      <c r="AV668" s="1150">
        <f t="shared" si="43"/>
        <v>0</v>
      </c>
    </row>
    <row r="669" spans="1:48" x14ac:dyDescent="0.2">
      <c r="A669" s="19">
        <v>682</v>
      </c>
      <c r="B669" t="s">
        <v>1969</v>
      </c>
      <c r="C669" t="s">
        <v>2076</v>
      </c>
      <c r="D669" t="s">
        <v>1034</v>
      </c>
      <c r="E669" t="s">
        <v>2267</v>
      </c>
      <c r="F669" t="s">
        <v>2460</v>
      </c>
      <c r="G669" t="s">
        <v>3833</v>
      </c>
      <c r="H669" t="s">
        <v>3822</v>
      </c>
      <c r="I669" t="s">
        <v>3846</v>
      </c>
      <c r="J669" t="s">
        <v>3343</v>
      </c>
      <c r="K669" t="s">
        <v>3732</v>
      </c>
      <c r="L669" t="s">
        <v>3174</v>
      </c>
      <c r="M669" s="1086">
        <v>1733.21</v>
      </c>
      <c r="N669" s="1086">
        <v>25000</v>
      </c>
      <c r="O669" s="1086">
        <v>0</v>
      </c>
      <c r="P669" s="1086">
        <v>21097.08</v>
      </c>
      <c r="Q669" s="1086">
        <v>0</v>
      </c>
      <c r="R669" s="1086">
        <v>0</v>
      </c>
      <c r="S669" s="1086">
        <v>0</v>
      </c>
      <c r="T669" s="1086">
        <v>4460.17</v>
      </c>
      <c r="U669" s="1086">
        <v>0</v>
      </c>
      <c r="V669" s="1086">
        <v>0</v>
      </c>
      <c r="W669" s="1086">
        <v>0</v>
      </c>
      <c r="X669" s="1086">
        <v>0</v>
      </c>
      <c r="Y669" s="1086">
        <v>0</v>
      </c>
      <c r="Z669" s="1086">
        <v>0</v>
      </c>
      <c r="AA669" s="1086">
        <v>0</v>
      </c>
      <c r="AB669" s="1086">
        <v>0</v>
      </c>
      <c r="AC669" s="1086">
        <v>1175.96</v>
      </c>
      <c r="AD669" s="1103" t="s">
        <v>1251</v>
      </c>
      <c r="AE669" s="1086" t="s">
        <v>3885</v>
      </c>
      <c r="AF669" s="1086">
        <f t="shared" si="41"/>
        <v>1175.9599999999991</v>
      </c>
      <c r="AG669" s="1086">
        <f t="shared" si="40"/>
        <v>0</v>
      </c>
      <c r="AQ669" s="1086">
        <v>0</v>
      </c>
      <c r="AR669" s="1086">
        <v>0</v>
      </c>
      <c r="AS669" s="1086">
        <v>1175.96</v>
      </c>
      <c r="AT669" s="1086">
        <f t="shared" si="42"/>
        <v>0</v>
      </c>
      <c r="AV669" s="1150">
        <f t="shared" si="43"/>
        <v>25557.25</v>
      </c>
    </row>
    <row r="670" spans="1:48" x14ac:dyDescent="0.2">
      <c r="A670" s="19">
        <v>683</v>
      </c>
      <c r="B670" t="s">
        <v>1970</v>
      </c>
      <c r="C670" t="s">
        <v>2076</v>
      </c>
      <c r="D670" t="s">
        <v>1034</v>
      </c>
      <c r="E670" t="s">
        <v>2267</v>
      </c>
      <c r="F670" t="s">
        <v>2460</v>
      </c>
      <c r="G670" t="s">
        <v>3833</v>
      </c>
      <c r="H670" t="s">
        <v>3822</v>
      </c>
      <c r="I670" t="s">
        <v>3846</v>
      </c>
      <c r="J670" t="s">
        <v>3343</v>
      </c>
      <c r="K670" t="s">
        <v>3733</v>
      </c>
      <c r="L670" t="s">
        <v>3175</v>
      </c>
      <c r="M670" s="1086">
        <v>2418.5500000000002</v>
      </c>
      <c r="N670" s="1086">
        <v>25000</v>
      </c>
      <c r="O670" s="1086">
        <v>0</v>
      </c>
      <c r="P670" s="1086">
        <v>21097.08</v>
      </c>
      <c r="Q670" s="1086">
        <v>0</v>
      </c>
      <c r="R670" s="1086">
        <v>0</v>
      </c>
      <c r="S670" s="1086">
        <v>0</v>
      </c>
      <c r="T670" s="1086">
        <v>3754.64</v>
      </c>
      <c r="U670" s="1086">
        <v>0</v>
      </c>
      <c r="V670" s="1086">
        <v>0</v>
      </c>
      <c r="W670" s="1086">
        <v>0</v>
      </c>
      <c r="X670" s="1086">
        <v>0</v>
      </c>
      <c r="Y670" s="1086">
        <v>0</v>
      </c>
      <c r="Z670" s="1086">
        <v>0</v>
      </c>
      <c r="AA670" s="1086">
        <v>0</v>
      </c>
      <c r="AB670" s="1086">
        <v>0</v>
      </c>
      <c r="AC670" s="1086">
        <v>2566.83</v>
      </c>
      <c r="AD670" s="1103" t="s">
        <v>1251</v>
      </c>
      <c r="AE670" s="1086" t="s">
        <v>3885</v>
      </c>
      <c r="AF670" s="1086">
        <f t="shared" si="41"/>
        <v>2566.8299999999981</v>
      </c>
      <c r="AG670" s="1086">
        <f t="shared" si="40"/>
        <v>0</v>
      </c>
      <c r="AQ670" s="1086">
        <v>0</v>
      </c>
      <c r="AR670" s="1086">
        <v>0</v>
      </c>
      <c r="AS670" s="1086">
        <v>2566.83</v>
      </c>
      <c r="AT670" s="1086">
        <f t="shared" si="42"/>
        <v>0</v>
      </c>
      <c r="AV670" s="1150">
        <f t="shared" si="43"/>
        <v>24851.72</v>
      </c>
    </row>
    <row r="671" spans="1:48" x14ac:dyDescent="0.2">
      <c r="A671" s="19">
        <v>684</v>
      </c>
      <c r="B671" t="s">
        <v>1971</v>
      </c>
      <c r="C671" t="s">
        <v>2076</v>
      </c>
      <c r="D671" t="s">
        <v>1034</v>
      </c>
      <c r="E671" t="s">
        <v>2267</v>
      </c>
      <c r="F671" t="s">
        <v>2460</v>
      </c>
      <c r="G671" t="s">
        <v>3833</v>
      </c>
      <c r="H671" t="s">
        <v>3822</v>
      </c>
      <c r="I671" t="s">
        <v>3846</v>
      </c>
      <c r="J671" t="s">
        <v>3343</v>
      </c>
      <c r="K671" t="s">
        <v>3734</v>
      </c>
      <c r="L671" t="s">
        <v>3176</v>
      </c>
      <c r="M671" s="1086">
        <v>20843.29</v>
      </c>
      <c r="N671" s="1086">
        <v>5000</v>
      </c>
      <c r="O671" s="1086">
        <v>0</v>
      </c>
      <c r="P671" s="1086">
        <v>0</v>
      </c>
      <c r="Q671" s="1086">
        <v>0</v>
      </c>
      <c r="R671" s="1086">
        <v>0</v>
      </c>
      <c r="S671" s="1086">
        <v>0</v>
      </c>
      <c r="T671" s="1086">
        <v>0</v>
      </c>
      <c r="U671" s="1086">
        <v>0</v>
      </c>
      <c r="V671" s="1086">
        <v>0</v>
      </c>
      <c r="W671" s="1086">
        <v>0</v>
      </c>
      <c r="X671" s="1086">
        <v>0</v>
      </c>
      <c r="Y671" s="1086">
        <v>0</v>
      </c>
      <c r="Z671" s="1086">
        <v>0</v>
      </c>
      <c r="AA671" s="1086">
        <v>0</v>
      </c>
      <c r="AB671" s="1086">
        <v>0</v>
      </c>
      <c r="AC671" s="1086">
        <v>25843.29</v>
      </c>
      <c r="AD671" s="1103" t="s">
        <v>1251</v>
      </c>
      <c r="AE671" s="1086" t="s">
        <v>3885</v>
      </c>
      <c r="AF671" s="1086">
        <f t="shared" si="41"/>
        <v>25843.29</v>
      </c>
      <c r="AG671" s="1086">
        <f t="shared" si="40"/>
        <v>0</v>
      </c>
      <c r="AQ671" s="1086">
        <v>0</v>
      </c>
      <c r="AR671" s="1086">
        <v>0</v>
      </c>
      <c r="AS671" s="1086">
        <v>25843.29</v>
      </c>
      <c r="AT671" s="1086">
        <f t="shared" si="42"/>
        <v>0</v>
      </c>
      <c r="AV671" s="1150">
        <f t="shared" si="43"/>
        <v>0</v>
      </c>
    </row>
    <row r="672" spans="1:48" x14ac:dyDescent="0.2">
      <c r="A672" s="19">
        <v>685</v>
      </c>
      <c r="B672" t="s">
        <v>1972</v>
      </c>
      <c r="C672" t="s">
        <v>2076</v>
      </c>
      <c r="D672" t="s">
        <v>1034</v>
      </c>
      <c r="E672" t="s">
        <v>2267</v>
      </c>
      <c r="F672" t="s">
        <v>2460</v>
      </c>
      <c r="G672" t="s">
        <v>3833</v>
      </c>
      <c r="H672" t="s">
        <v>3822</v>
      </c>
      <c r="I672" t="s">
        <v>3846</v>
      </c>
      <c r="J672" t="s">
        <v>3343</v>
      </c>
      <c r="K672" t="s">
        <v>3735</v>
      </c>
      <c r="L672" t="s">
        <v>3177</v>
      </c>
      <c r="M672" s="1086">
        <v>0</v>
      </c>
      <c r="N672" s="1086">
        <v>25000</v>
      </c>
      <c r="O672" s="1086">
        <v>0</v>
      </c>
      <c r="P672" s="1086">
        <v>19340.75</v>
      </c>
      <c r="Q672" s="1086">
        <v>0</v>
      </c>
      <c r="R672" s="1086">
        <v>0</v>
      </c>
      <c r="S672" s="1086">
        <v>0</v>
      </c>
      <c r="T672" s="1086">
        <v>4642.37</v>
      </c>
      <c r="U672" s="1086">
        <v>0</v>
      </c>
      <c r="V672" s="1086">
        <v>0</v>
      </c>
      <c r="W672" s="1086">
        <v>0</v>
      </c>
      <c r="X672" s="1086">
        <v>0</v>
      </c>
      <c r="Y672" s="1086">
        <v>0</v>
      </c>
      <c r="Z672" s="1086">
        <v>0</v>
      </c>
      <c r="AA672" s="1086">
        <v>0</v>
      </c>
      <c r="AB672" s="1086">
        <v>0</v>
      </c>
      <c r="AC672" s="1086">
        <v>1016.88</v>
      </c>
      <c r="AD672" s="1103" t="s">
        <v>1251</v>
      </c>
      <c r="AE672" s="1086" t="s">
        <v>3885</v>
      </c>
      <c r="AF672" s="1086">
        <f t="shared" si="41"/>
        <v>1016.880000000001</v>
      </c>
      <c r="AG672" s="1086">
        <f t="shared" si="40"/>
        <v>-1.0231815394945443E-12</v>
      </c>
      <c r="AQ672" s="1086">
        <v>0</v>
      </c>
      <c r="AR672" s="1086">
        <v>0</v>
      </c>
      <c r="AS672" s="1086">
        <v>1016.88</v>
      </c>
      <c r="AT672" s="1086">
        <f t="shared" si="42"/>
        <v>0</v>
      </c>
      <c r="AV672" s="1150">
        <f t="shared" si="43"/>
        <v>23983.119999999999</v>
      </c>
    </row>
    <row r="673" spans="1:48" x14ac:dyDescent="0.2">
      <c r="A673" s="19">
        <v>686</v>
      </c>
      <c r="B673" t="s">
        <v>1973</v>
      </c>
      <c r="C673" t="s">
        <v>2076</v>
      </c>
      <c r="D673" t="s">
        <v>1038</v>
      </c>
      <c r="E673" t="s">
        <v>2153</v>
      </c>
      <c r="F673" t="s">
        <v>2350</v>
      </c>
      <c r="G673" t="s">
        <v>1250</v>
      </c>
      <c r="H673" t="s">
        <v>3824</v>
      </c>
      <c r="I673" t="s">
        <v>3846</v>
      </c>
      <c r="J673" t="s">
        <v>3321</v>
      </c>
      <c r="K673" t="s">
        <v>3736</v>
      </c>
      <c r="L673" t="s">
        <v>3178</v>
      </c>
      <c r="M673" s="1086">
        <v>21971.65</v>
      </c>
      <c r="N673" s="1086">
        <v>9676</v>
      </c>
      <c r="O673" s="1086">
        <v>0</v>
      </c>
      <c r="P673" s="1086">
        <v>0</v>
      </c>
      <c r="Q673" s="1086">
        <v>0</v>
      </c>
      <c r="R673" s="1086">
        <v>0</v>
      </c>
      <c r="S673" s="1086">
        <v>0</v>
      </c>
      <c r="T673" s="1086">
        <v>0</v>
      </c>
      <c r="U673" s="1086">
        <v>9676</v>
      </c>
      <c r="V673" s="1086">
        <v>0</v>
      </c>
      <c r="W673" s="1086">
        <v>0</v>
      </c>
      <c r="X673" s="1086">
        <v>0</v>
      </c>
      <c r="Y673" s="1086">
        <v>0</v>
      </c>
      <c r="Z673" s="1086">
        <v>0</v>
      </c>
      <c r="AA673" s="1086">
        <v>0</v>
      </c>
      <c r="AB673" s="1086">
        <v>0</v>
      </c>
      <c r="AC673" s="1086">
        <v>21971.65</v>
      </c>
      <c r="AD673" s="1086" t="s">
        <v>248</v>
      </c>
      <c r="AE673" s="1086" t="s">
        <v>3883</v>
      </c>
      <c r="AF673" s="1086">
        <f t="shared" si="41"/>
        <v>21971.65</v>
      </c>
      <c r="AG673" s="1086">
        <f t="shared" si="40"/>
        <v>0</v>
      </c>
      <c r="AQ673" s="1086">
        <v>0</v>
      </c>
      <c r="AR673" s="1086">
        <v>0</v>
      </c>
      <c r="AS673" s="1086">
        <v>21971.65</v>
      </c>
      <c r="AT673" s="1086">
        <f t="shared" si="42"/>
        <v>0</v>
      </c>
      <c r="AV673" s="1150">
        <f t="shared" si="43"/>
        <v>9676</v>
      </c>
    </row>
    <row r="674" spans="1:48" x14ac:dyDescent="0.2">
      <c r="A674" s="19">
        <v>687</v>
      </c>
      <c r="B674" t="s">
        <v>1974</v>
      </c>
      <c r="C674" t="s">
        <v>2076</v>
      </c>
      <c r="D674" t="s">
        <v>1055</v>
      </c>
      <c r="E674" t="s">
        <v>2154</v>
      </c>
      <c r="F674" t="s">
        <v>2351</v>
      </c>
      <c r="G674" t="s">
        <v>3832</v>
      </c>
      <c r="H674" t="s">
        <v>3825</v>
      </c>
      <c r="I674" t="s">
        <v>3846</v>
      </c>
      <c r="J674" t="s">
        <v>3401</v>
      </c>
      <c r="K674" t="s">
        <v>3737</v>
      </c>
      <c r="L674" t="s">
        <v>3179</v>
      </c>
      <c r="M674" s="1086">
        <v>694483.87</v>
      </c>
      <c r="N674" s="1086">
        <v>0</v>
      </c>
      <c r="O674" s="1086">
        <v>0</v>
      </c>
      <c r="P674" s="1086">
        <v>230956.9</v>
      </c>
      <c r="Q674" s="1086">
        <v>34875.019999999997</v>
      </c>
      <c r="R674" s="1086">
        <v>0</v>
      </c>
      <c r="S674" s="1086">
        <v>0</v>
      </c>
      <c r="T674" s="1086">
        <v>59158.720000000001</v>
      </c>
      <c r="U674" s="1086">
        <v>8858.68</v>
      </c>
      <c r="V674" s="1086">
        <v>0</v>
      </c>
      <c r="W674" s="1086">
        <v>0</v>
      </c>
      <c r="X674" s="1086">
        <v>3781.96</v>
      </c>
      <c r="Y674" s="1086">
        <v>0</v>
      </c>
      <c r="Z674" s="1086">
        <v>0</v>
      </c>
      <c r="AA674" s="1086">
        <v>0</v>
      </c>
      <c r="AB674" s="1086">
        <v>0</v>
      </c>
      <c r="AC674" s="1086">
        <v>356852.59</v>
      </c>
      <c r="AD674" s="1103" t="s">
        <v>1253</v>
      </c>
      <c r="AE674" s="1086" t="s">
        <v>3887</v>
      </c>
      <c r="AF674" s="1086">
        <f t="shared" si="41"/>
        <v>356852.58999999997</v>
      </c>
      <c r="AG674" s="1086">
        <f t="shared" si="40"/>
        <v>0</v>
      </c>
      <c r="AQ674" s="1086">
        <v>0</v>
      </c>
      <c r="AR674" s="1086">
        <v>0</v>
      </c>
      <c r="AS674" s="1086">
        <v>356852.59</v>
      </c>
      <c r="AT674" s="1086">
        <f t="shared" si="42"/>
        <v>0</v>
      </c>
      <c r="AV674" s="1150">
        <f t="shared" si="43"/>
        <v>337631.28</v>
      </c>
    </row>
    <row r="675" spans="1:48" x14ac:dyDescent="0.2">
      <c r="A675" s="19">
        <v>688</v>
      </c>
      <c r="B675" t="s">
        <v>1975</v>
      </c>
      <c r="C675" t="s">
        <v>2076</v>
      </c>
      <c r="D675" t="s">
        <v>1055</v>
      </c>
      <c r="E675" t="s">
        <v>2154</v>
      </c>
      <c r="F675" t="s">
        <v>2351</v>
      </c>
      <c r="G675" t="s">
        <v>3832</v>
      </c>
      <c r="H675" t="s">
        <v>3825</v>
      </c>
      <c r="I675" t="s">
        <v>3846</v>
      </c>
      <c r="J675" t="s">
        <v>3401</v>
      </c>
      <c r="K675" t="s">
        <v>3738</v>
      </c>
      <c r="L675" t="s">
        <v>3180</v>
      </c>
      <c r="M675" s="1086">
        <v>35752.97</v>
      </c>
      <c r="N675" s="1086">
        <v>0</v>
      </c>
      <c r="O675" s="1086">
        <v>0</v>
      </c>
      <c r="P675" s="1086">
        <v>0</v>
      </c>
      <c r="Q675" s="1086">
        <v>0</v>
      </c>
      <c r="R675" s="1086">
        <v>0</v>
      </c>
      <c r="S675" s="1086">
        <v>0</v>
      </c>
      <c r="T675" s="1086">
        <v>0</v>
      </c>
      <c r="U675" s="1086">
        <v>14933.44</v>
      </c>
      <c r="V675" s="1086">
        <v>0</v>
      </c>
      <c r="W675" s="1086">
        <v>18204.7</v>
      </c>
      <c r="X675" s="1086">
        <v>0</v>
      </c>
      <c r="Y675" s="1086">
        <v>0</v>
      </c>
      <c r="Z675" s="1086">
        <v>0</v>
      </c>
      <c r="AA675" s="1086">
        <v>0</v>
      </c>
      <c r="AB675" s="1086">
        <v>0</v>
      </c>
      <c r="AC675" s="1086">
        <v>2614.83</v>
      </c>
      <c r="AD675" s="1103" t="s">
        <v>1253</v>
      </c>
      <c r="AE675" s="1086" t="s">
        <v>3887</v>
      </c>
      <c r="AF675" s="1086">
        <f t="shared" si="41"/>
        <v>2614.8300000000017</v>
      </c>
      <c r="AG675" s="1086">
        <f t="shared" si="40"/>
        <v>0</v>
      </c>
      <c r="AQ675" s="1086">
        <v>0</v>
      </c>
      <c r="AR675" s="1086">
        <v>0</v>
      </c>
      <c r="AS675" s="1086">
        <v>2614.83</v>
      </c>
      <c r="AT675" s="1086">
        <f t="shared" si="42"/>
        <v>0</v>
      </c>
      <c r="AV675" s="1150">
        <f t="shared" si="43"/>
        <v>33138.14</v>
      </c>
    </row>
    <row r="676" spans="1:48" x14ac:dyDescent="0.2">
      <c r="A676" s="19">
        <v>689</v>
      </c>
      <c r="B676" t="s">
        <v>1976</v>
      </c>
      <c r="C676" t="s">
        <v>2076</v>
      </c>
      <c r="D676" t="s">
        <v>1058</v>
      </c>
      <c r="E676" t="s">
        <v>2156</v>
      </c>
      <c r="F676" t="s">
        <v>2353</v>
      </c>
      <c r="G676" t="s">
        <v>1250</v>
      </c>
      <c r="H676" t="s">
        <v>3823</v>
      </c>
      <c r="I676" t="s">
        <v>3251</v>
      </c>
      <c r="J676" t="s">
        <v>3251</v>
      </c>
      <c r="K676" t="s">
        <v>3251</v>
      </c>
      <c r="L676" t="s">
        <v>3181</v>
      </c>
      <c r="M676" s="1086">
        <v>0</v>
      </c>
      <c r="N676" s="1086">
        <v>48995.1</v>
      </c>
      <c r="O676" s="1086">
        <v>0</v>
      </c>
      <c r="P676" s="1086">
        <v>6923.25</v>
      </c>
      <c r="Q676" s="1086">
        <v>0</v>
      </c>
      <c r="R676" s="1086">
        <v>0</v>
      </c>
      <c r="S676" s="1086">
        <v>0</v>
      </c>
      <c r="T676" s="1086">
        <v>1064.29</v>
      </c>
      <c r="U676" s="1086">
        <v>720.29</v>
      </c>
      <c r="V676" s="1086">
        <v>0</v>
      </c>
      <c r="W676" s="1086">
        <v>0</v>
      </c>
      <c r="X676" s="1086">
        <v>1288.79</v>
      </c>
      <c r="Y676" s="1086">
        <v>0</v>
      </c>
      <c r="Z676" s="1086">
        <v>0</v>
      </c>
      <c r="AA676" s="1086">
        <v>0</v>
      </c>
      <c r="AB676" s="1086">
        <v>0</v>
      </c>
      <c r="AC676" s="1086">
        <v>38998.480000000003</v>
      </c>
      <c r="AD676" s="1086" t="s">
        <v>248</v>
      </c>
      <c r="AE676" s="1086" t="s">
        <v>3883</v>
      </c>
      <c r="AF676" s="1086">
        <f t="shared" si="41"/>
        <v>38998.479999999996</v>
      </c>
      <c r="AG676" s="1086">
        <f t="shared" si="40"/>
        <v>0</v>
      </c>
      <c r="AQ676" s="1086">
        <v>0</v>
      </c>
      <c r="AR676" s="1086">
        <v>0</v>
      </c>
      <c r="AS676" s="1086">
        <v>38998.480000000003</v>
      </c>
      <c r="AT676" s="1086">
        <f t="shared" si="42"/>
        <v>0</v>
      </c>
      <c r="AV676" s="1150">
        <f t="shared" si="43"/>
        <v>9996.619999999999</v>
      </c>
    </row>
    <row r="677" spans="1:48" x14ac:dyDescent="0.2">
      <c r="A677" s="19">
        <v>690</v>
      </c>
      <c r="B677" t="s">
        <v>1977</v>
      </c>
      <c r="C677" t="s">
        <v>2076</v>
      </c>
      <c r="D677" t="s">
        <v>1046</v>
      </c>
      <c r="E677" t="s">
        <v>2259</v>
      </c>
      <c r="F677" t="s">
        <v>945</v>
      </c>
      <c r="G677" t="s">
        <v>1250</v>
      </c>
      <c r="H677" t="s">
        <v>3825</v>
      </c>
      <c r="I677" t="s">
        <v>3846</v>
      </c>
      <c r="J677" t="s">
        <v>3398</v>
      </c>
      <c r="K677" t="s">
        <v>3739</v>
      </c>
      <c r="L677" t="s">
        <v>3182</v>
      </c>
      <c r="M677" s="1086">
        <v>15081.33</v>
      </c>
      <c r="N677" s="1086">
        <v>30000</v>
      </c>
      <c r="O677" s="1086">
        <v>0</v>
      </c>
      <c r="P677" s="1086">
        <v>0</v>
      </c>
      <c r="Q677" s="1086">
        <v>0</v>
      </c>
      <c r="R677" s="1086">
        <v>0</v>
      </c>
      <c r="S677" s="1086">
        <v>0</v>
      </c>
      <c r="T677" s="1086">
        <v>0</v>
      </c>
      <c r="U677" s="1086">
        <v>11312.23</v>
      </c>
      <c r="V677" s="1086">
        <v>0</v>
      </c>
      <c r="W677" s="1086">
        <v>0</v>
      </c>
      <c r="X677" s="1086">
        <v>0</v>
      </c>
      <c r="Y677" s="1086">
        <v>0</v>
      </c>
      <c r="Z677" s="1086">
        <v>0</v>
      </c>
      <c r="AA677" s="1086">
        <v>0</v>
      </c>
      <c r="AB677" s="1086">
        <v>0</v>
      </c>
      <c r="AC677" s="1086">
        <v>33769.1</v>
      </c>
      <c r="AD677" s="1086" t="s">
        <v>248</v>
      </c>
      <c r="AE677" s="1086" t="s">
        <v>3883</v>
      </c>
      <c r="AF677" s="1086">
        <f t="shared" si="41"/>
        <v>33769.100000000006</v>
      </c>
      <c r="AG677" s="1086">
        <f t="shared" si="40"/>
        <v>0</v>
      </c>
      <c r="AQ677" s="1086">
        <v>0</v>
      </c>
      <c r="AR677" s="1086">
        <v>0</v>
      </c>
      <c r="AS677" s="1086">
        <v>33769.1</v>
      </c>
      <c r="AT677" s="1086">
        <f t="shared" si="42"/>
        <v>0</v>
      </c>
      <c r="AV677" s="1150">
        <f t="shared" si="43"/>
        <v>11312.23</v>
      </c>
    </row>
    <row r="678" spans="1:48" x14ac:dyDescent="0.2">
      <c r="A678" s="19">
        <v>691</v>
      </c>
      <c r="B678" t="s">
        <v>1978</v>
      </c>
      <c r="C678" t="s">
        <v>2076</v>
      </c>
      <c r="D678" t="s">
        <v>1046</v>
      </c>
      <c r="E678" t="s">
        <v>2259</v>
      </c>
      <c r="F678" t="s">
        <v>945</v>
      </c>
      <c r="G678" t="s">
        <v>1250</v>
      </c>
      <c r="H678" t="s">
        <v>3823</v>
      </c>
      <c r="I678" t="s">
        <v>3846</v>
      </c>
      <c r="J678" t="s">
        <v>3398</v>
      </c>
      <c r="K678" t="s">
        <v>3740</v>
      </c>
      <c r="L678" t="s">
        <v>3183</v>
      </c>
      <c r="M678" s="1086">
        <v>55961.56</v>
      </c>
      <c r="N678" s="1086">
        <v>35000</v>
      </c>
      <c r="O678" s="1086">
        <v>0</v>
      </c>
      <c r="P678" s="1086">
        <v>0</v>
      </c>
      <c r="Q678" s="1086">
        <v>0</v>
      </c>
      <c r="R678" s="1086">
        <v>0</v>
      </c>
      <c r="S678" s="1086">
        <v>0</v>
      </c>
      <c r="T678" s="1086">
        <v>0</v>
      </c>
      <c r="U678" s="1086">
        <v>20848.439999999999</v>
      </c>
      <c r="V678" s="1086">
        <v>0</v>
      </c>
      <c r="W678" s="1086">
        <v>0</v>
      </c>
      <c r="X678" s="1086">
        <v>0</v>
      </c>
      <c r="Y678" s="1086">
        <v>0</v>
      </c>
      <c r="Z678" s="1086">
        <v>0</v>
      </c>
      <c r="AA678" s="1086">
        <v>0</v>
      </c>
      <c r="AB678" s="1086">
        <v>0</v>
      </c>
      <c r="AC678" s="1086">
        <v>70113.119999999995</v>
      </c>
      <c r="AD678" s="1086" t="s">
        <v>248</v>
      </c>
      <c r="AE678" s="1086" t="s">
        <v>3883</v>
      </c>
      <c r="AF678" s="1086">
        <f t="shared" si="41"/>
        <v>70113.119999999995</v>
      </c>
      <c r="AG678" s="1086">
        <f t="shared" si="40"/>
        <v>0</v>
      </c>
      <c r="AQ678" s="1086">
        <v>0</v>
      </c>
      <c r="AR678" s="1086">
        <v>0</v>
      </c>
      <c r="AS678" s="1086">
        <v>70113.119999999995</v>
      </c>
      <c r="AT678" s="1086">
        <f t="shared" si="42"/>
        <v>0</v>
      </c>
      <c r="AV678" s="1150">
        <f t="shared" si="43"/>
        <v>20848.439999999999</v>
      </c>
    </row>
    <row r="679" spans="1:48" x14ac:dyDescent="0.2">
      <c r="A679" s="19">
        <v>692</v>
      </c>
      <c r="B679" t="s">
        <v>1979</v>
      </c>
      <c r="C679" t="s">
        <v>2076</v>
      </c>
      <c r="D679" t="s">
        <v>1049</v>
      </c>
      <c r="E679" t="s">
        <v>2268</v>
      </c>
      <c r="F679" t="s">
        <v>2461</v>
      </c>
      <c r="G679" t="s">
        <v>1250</v>
      </c>
      <c r="H679" t="s">
        <v>3825</v>
      </c>
      <c r="I679" t="s">
        <v>3846</v>
      </c>
      <c r="J679" t="s">
        <v>3270</v>
      </c>
      <c r="K679" t="s">
        <v>3741</v>
      </c>
      <c r="L679" t="s">
        <v>2461</v>
      </c>
      <c r="M679" s="1086">
        <v>4886.42</v>
      </c>
      <c r="N679" s="1086">
        <v>0</v>
      </c>
      <c r="O679" s="1086">
        <v>0</v>
      </c>
      <c r="P679" s="1086">
        <v>0</v>
      </c>
      <c r="Q679" s="1086">
        <v>0</v>
      </c>
      <c r="R679" s="1086">
        <v>0</v>
      </c>
      <c r="S679" s="1086">
        <v>0</v>
      </c>
      <c r="T679" s="1086">
        <v>0</v>
      </c>
      <c r="U679" s="1086">
        <v>469.25</v>
      </c>
      <c r="V679" s="1086">
        <v>0</v>
      </c>
      <c r="W679" s="1086">
        <v>382.26</v>
      </c>
      <c r="X679" s="1086">
        <v>0</v>
      </c>
      <c r="Y679" s="1086">
        <v>0</v>
      </c>
      <c r="Z679" s="1086">
        <v>0</v>
      </c>
      <c r="AA679" s="1086">
        <v>0</v>
      </c>
      <c r="AB679" s="1086">
        <v>0</v>
      </c>
      <c r="AC679" s="1086">
        <v>4034.91</v>
      </c>
      <c r="AD679" s="1086" t="s">
        <v>248</v>
      </c>
      <c r="AE679" s="1086" t="s">
        <v>3883</v>
      </c>
      <c r="AF679" s="1086">
        <f t="shared" si="41"/>
        <v>4034.91</v>
      </c>
      <c r="AG679" s="1086">
        <f t="shared" si="40"/>
        <v>0</v>
      </c>
      <c r="AQ679" s="1086">
        <v>0</v>
      </c>
      <c r="AR679" s="1086">
        <v>0</v>
      </c>
      <c r="AS679" s="1086">
        <v>4034.91</v>
      </c>
      <c r="AT679" s="1086">
        <f t="shared" si="42"/>
        <v>0</v>
      </c>
      <c r="AV679" s="1150">
        <f t="shared" si="43"/>
        <v>851.51</v>
      </c>
    </row>
    <row r="680" spans="1:48" x14ac:dyDescent="0.2">
      <c r="A680" s="19">
        <v>694</v>
      </c>
      <c r="B680" t="s">
        <v>1980</v>
      </c>
      <c r="C680" t="s">
        <v>2076</v>
      </c>
      <c r="D680" t="s">
        <v>1038</v>
      </c>
      <c r="E680" t="s">
        <v>2162</v>
      </c>
      <c r="F680" t="s">
        <v>2359</v>
      </c>
      <c r="G680" t="s">
        <v>1250</v>
      </c>
      <c r="H680" t="s">
        <v>3824</v>
      </c>
      <c r="I680" t="s">
        <v>3846</v>
      </c>
      <c r="J680" t="s">
        <v>3321</v>
      </c>
      <c r="K680" t="s">
        <v>3742</v>
      </c>
      <c r="L680" t="s">
        <v>3184</v>
      </c>
      <c r="M680" s="1086">
        <v>68871.929999999993</v>
      </c>
      <c r="N680" s="1086">
        <v>121358.51</v>
      </c>
      <c r="O680" s="1086">
        <v>0</v>
      </c>
      <c r="P680" s="1086">
        <v>46104.53</v>
      </c>
      <c r="Q680" s="1086">
        <v>0</v>
      </c>
      <c r="R680" s="1086">
        <v>0</v>
      </c>
      <c r="S680" s="1086">
        <v>28276.400000000001</v>
      </c>
      <c r="T680" s="1086">
        <v>18450.330000000002</v>
      </c>
      <c r="U680" s="1086">
        <v>36592.26</v>
      </c>
      <c r="V680" s="1086">
        <v>0</v>
      </c>
      <c r="W680" s="1086">
        <v>0</v>
      </c>
      <c r="X680" s="1086">
        <v>0</v>
      </c>
      <c r="Y680" s="1086">
        <v>0</v>
      </c>
      <c r="Z680" s="1086">
        <v>0</v>
      </c>
      <c r="AA680" s="1086">
        <v>0</v>
      </c>
      <c r="AB680" s="1086">
        <v>0</v>
      </c>
      <c r="AC680" s="1086">
        <v>60806.92</v>
      </c>
      <c r="AD680" s="1086" t="s">
        <v>248</v>
      </c>
      <c r="AE680" s="1086" t="s">
        <v>3883</v>
      </c>
      <c r="AF680" s="1086">
        <f t="shared" si="41"/>
        <v>60806.920000000013</v>
      </c>
      <c r="AG680" s="1086">
        <f t="shared" si="40"/>
        <v>0</v>
      </c>
      <c r="AQ680" s="1086">
        <v>0</v>
      </c>
      <c r="AR680" s="1086">
        <v>0</v>
      </c>
      <c r="AS680" s="1086">
        <v>60806.92</v>
      </c>
      <c r="AT680" s="1086">
        <f t="shared" si="42"/>
        <v>0</v>
      </c>
      <c r="AV680" s="1150">
        <f t="shared" si="43"/>
        <v>129423.51999999999</v>
      </c>
    </row>
    <row r="681" spans="1:48" x14ac:dyDescent="0.2">
      <c r="A681" s="19">
        <v>695</v>
      </c>
      <c r="B681" t="s">
        <v>1981</v>
      </c>
      <c r="C681" t="s">
        <v>2076</v>
      </c>
      <c r="D681" t="s">
        <v>1040</v>
      </c>
      <c r="E681" t="s">
        <v>2269</v>
      </c>
      <c r="F681" t="s">
        <v>2462</v>
      </c>
      <c r="G681" t="s">
        <v>1257</v>
      </c>
      <c r="H681" t="s">
        <v>3826</v>
      </c>
      <c r="I681">
        <v>0</v>
      </c>
      <c r="L681" t="s">
        <v>3185</v>
      </c>
      <c r="M681" s="1086">
        <v>25076.3</v>
      </c>
      <c r="N681" s="1086">
        <v>49200</v>
      </c>
      <c r="O681" s="1086">
        <v>0</v>
      </c>
      <c r="P681" s="1086">
        <v>0</v>
      </c>
      <c r="Q681" s="1086">
        <v>0</v>
      </c>
      <c r="R681" s="1086">
        <v>0</v>
      </c>
      <c r="S681" s="1086">
        <v>0</v>
      </c>
      <c r="T681" s="1086">
        <v>0</v>
      </c>
      <c r="U681" s="1086">
        <v>31713.53</v>
      </c>
      <c r="V681" s="1086">
        <v>0</v>
      </c>
      <c r="W681" s="1086">
        <v>18219.419999999998</v>
      </c>
      <c r="X681" s="1086">
        <v>13095.28</v>
      </c>
      <c r="Y681" s="1086">
        <v>0</v>
      </c>
      <c r="Z681" s="1086">
        <v>0</v>
      </c>
      <c r="AA681" s="1086">
        <v>462</v>
      </c>
      <c r="AB681" s="1086">
        <v>0</v>
      </c>
      <c r="AC681" s="1086">
        <v>9695.5300000000007</v>
      </c>
      <c r="AD681" s="1086" t="s">
        <v>248</v>
      </c>
      <c r="AE681" s="1086" t="s">
        <v>3883</v>
      </c>
      <c r="AF681" s="1086">
        <f t="shared" si="41"/>
        <v>9695.5300000000061</v>
      </c>
      <c r="AG681" s="1086">
        <f t="shared" si="40"/>
        <v>0</v>
      </c>
      <c r="AQ681" s="1086">
        <v>1090.54</v>
      </c>
      <c r="AR681" s="1086">
        <v>0</v>
      </c>
      <c r="AS681" s="1086">
        <v>9695.5300000000007</v>
      </c>
      <c r="AT681" s="1086">
        <f t="shared" si="42"/>
        <v>0</v>
      </c>
      <c r="AV681" s="1150">
        <f t="shared" si="43"/>
        <v>64580.77</v>
      </c>
    </row>
    <row r="682" spans="1:48" x14ac:dyDescent="0.2">
      <c r="A682" s="19">
        <v>696</v>
      </c>
      <c r="B682" t="s">
        <v>1982</v>
      </c>
      <c r="C682" t="s">
        <v>2076</v>
      </c>
      <c r="D682" t="s">
        <v>1044</v>
      </c>
      <c r="E682" t="s">
        <v>2165</v>
      </c>
      <c r="F682" t="s">
        <v>2362</v>
      </c>
      <c r="G682" t="s">
        <v>1250</v>
      </c>
      <c r="H682" t="s">
        <v>3825</v>
      </c>
      <c r="I682" t="s">
        <v>3846</v>
      </c>
      <c r="J682" t="s">
        <v>3417</v>
      </c>
      <c r="K682" t="s">
        <v>3743</v>
      </c>
      <c r="L682" t="s">
        <v>3186</v>
      </c>
      <c r="M682" s="1086">
        <v>18669.54</v>
      </c>
      <c r="N682" s="1086">
        <v>0</v>
      </c>
      <c r="O682" s="1086">
        <v>0</v>
      </c>
      <c r="P682" s="1086">
        <v>0</v>
      </c>
      <c r="Q682" s="1086">
        <v>0</v>
      </c>
      <c r="R682" s="1086">
        <v>0</v>
      </c>
      <c r="S682" s="1086">
        <v>0</v>
      </c>
      <c r="T682" s="1086">
        <v>0</v>
      </c>
      <c r="U682" s="1086">
        <v>0</v>
      </c>
      <c r="V682" s="1086">
        <v>0</v>
      </c>
      <c r="W682" s="1086">
        <v>0</v>
      </c>
      <c r="X682" s="1086">
        <v>0</v>
      </c>
      <c r="Y682" s="1086">
        <v>0</v>
      </c>
      <c r="Z682" s="1086">
        <v>0</v>
      </c>
      <c r="AA682" s="1086">
        <v>0</v>
      </c>
      <c r="AB682" s="1086">
        <v>0</v>
      </c>
      <c r="AC682" s="1086">
        <v>18669.54</v>
      </c>
      <c r="AD682" s="1086" t="s">
        <v>248</v>
      </c>
      <c r="AE682" s="1086" t="s">
        <v>3883</v>
      </c>
      <c r="AF682" s="1086">
        <f t="shared" si="41"/>
        <v>18669.54</v>
      </c>
      <c r="AG682" s="1086">
        <f t="shared" si="40"/>
        <v>0</v>
      </c>
      <c r="AQ682" s="1086">
        <v>0</v>
      </c>
      <c r="AR682" s="1086">
        <v>0</v>
      </c>
      <c r="AS682" s="1086">
        <v>18669.54</v>
      </c>
      <c r="AT682" s="1086">
        <f t="shared" si="42"/>
        <v>0</v>
      </c>
      <c r="AV682" s="1150">
        <f t="shared" si="43"/>
        <v>0</v>
      </c>
    </row>
    <row r="683" spans="1:48" x14ac:dyDescent="0.2">
      <c r="A683" s="19">
        <v>697</v>
      </c>
      <c r="B683" t="s">
        <v>1983</v>
      </c>
      <c r="C683" t="s">
        <v>2076</v>
      </c>
      <c r="D683" t="s">
        <v>1005</v>
      </c>
      <c r="E683" t="s">
        <v>2166</v>
      </c>
      <c r="F683" t="s">
        <v>2363</v>
      </c>
      <c r="G683" t="s">
        <v>1250</v>
      </c>
      <c r="H683" t="s">
        <v>3822</v>
      </c>
      <c r="I683" t="s">
        <v>3846</v>
      </c>
      <c r="J683" t="s">
        <v>3355</v>
      </c>
      <c r="K683" t="s">
        <v>3744</v>
      </c>
      <c r="L683" t="s">
        <v>3187</v>
      </c>
      <c r="M683" s="1086">
        <v>13026.27</v>
      </c>
      <c r="N683" s="1086">
        <v>0</v>
      </c>
      <c r="O683" s="1086">
        <v>0</v>
      </c>
      <c r="P683" s="1086">
        <v>4934.28</v>
      </c>
      <c r="Q683" s="1086">
        <v>0</v>
      </c>
      <c r="R683" s="1086">
        <v>0</v>
      </c>
      <c r="S683" s="1086">
        <v>0</v>
      </c>
      <c r="T683" s="1086">
        <v>4265.16</v>
      </c>
      <c r="U683" s="1086">
        <v>52.3</v>
      </c>
      <c r="V683" s="1086">
        <v>0</v>
      </c>
      <c r="W683" s="1086">
        <v>0</v>
      </c>
      <c r="X683" s="1086">
        <v>0</v>
      </c>
      <c r="Y683" s="1086">
        <v>0</v>
      </c>
      <c r="Z683" s="1086">
        <v>0</v>
      </c>
      <c r="AA683" s="1086">
        <v>0</v>
      </c>
      <c r="AB683" s="1086">
        <v>0</v>
      </c>
      <c r="AC683" s="1086">
        <v>3774.53</v>
      </c>
      <c r="AD683" s="1086" t="s">
        <v>248</v>
      </c>
      <c r="AE683" s="1086" t="s">
        <v>3883</v>
      </c>
      <c r="AF683" s="1086">
        <f t="shared" si="41"/>
        <v>3774.5300000000025</v>
      </c>
      <c r="AG683" s="1086">
        <f t="shared" si="40"/>
        <v>0</v>
      </c>
      <c r="AQ683" s="1086">
        <v>0</v>
      </c>
      <c r="AR683" s="1086">
        <v>0</v>
      </c>
      <c r="AS683" s="1086">
        <v>3774.53</v>
      </c>
      <c r="AT683" s="1086">
        <f t="shared" si="42"/>
        <v>0</v>
      </c>
      <c r="AV683" s="1150">
        <f t="shared" si="43"/>
        <v>9251.739999999998</v>
      </c>
    </row>
    <row r="684" spans="1:48" x14ac:dyDescent="0.2">
      <c r="A684" s="19">
        <v>698</v>
      </c>
      <c r="B684" t="s">
        <v>1984</v>
      </c>
      <c r="C684" t="s">
        <v>2076</v>
      </c>
      <c r="D684" t="s">
        <v>1050</v>
      </c>
      <c r="E684" t="s">
        <v>2171</v>
      </c>
      <c r="F684" t="s">
        <v>2367</v>
      </c>
      <c r="G684" t="s">
        <v>1250</v>
      </c>
      <c r="H684" t="s">
        <v>3825</v>
      </c>
      <c r="I684" t="s">
        <v>3846</v>
      </c>
      <c r="J684" t="s">
        <v>3272</v>
      </c>
      <c r="K684" t="s">
        <v>3745</v>
      </c>
      <c r="L684" t="s">
        <v>3188</v>
      </c>
      <c r="M684" s="1086">
        <v>40327.699999999997</v>
      </c>
      <c r="N684" s="1086">
        <v>0</v>
      </c>
      <c r="O684" s="1086">
        <v>0</v>
      </c>
      <c r="P684" s="1086">
        <v>0</v>
      </c>
      <c r="Q684" s="1086">
        <v>0</v>
      </c>
      <c r="R684" s="1086">
        <v>0</v>
      </c>
      <c r="S684" s="1086">
        <v>0</v>
      </c>
      <c r="T684" s="1086">
        <v>0</v>
      </c>
      <c r="U684" s="1086">
        <v>0</v>
      </c>
      <c r="V684" s="1086">
        <v>0</v>
      </c>
      <c r="W684" s="1086">
        <v>0</v>
      </c>
      <c r="X684" s="1086">
        <v>0</v>
      </c>
      <c r="Y684" s="1086">
        <v>0</v>
      </c>
      <c r="Z684" s="1086">
        <v>0</v>
      </c>
      <c r="AA684" s="1086">
        <v>0</v>
      </c>
      <c r="AB684" s="1086">
        <v>0</v>
      </c>
      <c r="AC684" s="1086">
        <v>40327.699999999997</v>
      </c>
      <c r="AD684" s="1086" t="s">
        <v>248</v>
      </c>
      <c r="AE684" s="1086" t="s">
        <v>3883</v>
      </c>
      <c r="AF684" s="1086">
        <f t="shared" si="41"/>
        <v>40327.699999999997</v>
      </c>
      <c r="AG684" s="1086">
        <f t="shared" si="40"/>
        <v>0</v>
      </c>
      <c r="AQ684" s="1086">
        <v>0</v>
      </c>
      <c r="AR684" s="1086">
        <v>0</v>
      </c>
      <c r="AS684" s="1086">
        <v>40327.699999999997</v>
      </c>
      <c r="AT684" s="1086">
        <f t="shared" si="42"/>
        <v>0</v>
      </c>
      <c r="AV684" s="1150">
        <f t="shared" si="43"/>
        <v>0</v>
      </c>
    </row>
    <row r="685" spans="1:48" x14ac:dyDescent="0.2">
      <c r="A685" s="19">
        <v>699</v>
      </c>
      <c r="B685" t="s">
        <v>1985</v>
      </c>
      <c r="C685" t="s">
        <v>2076</v>
      </c>
      <c r="D685" t="s">
        <v>1036</v>
      </c>
      <c r="E685" t="s">
        <v>2270</v>
      </c>
      <c r="F685" t="s">
        <v>2463</v>
      </c>
      <c r="G685" t="s">
        <v>1250</v>
      </c>
      <c r="H685" t="s">
        <v>3826</v>
      </c>
      <c r="I685" t="s">
        <v>3846</v>
      </c>
      <c r="J685" t="s">
        <v>3263</v>
      </c>
      <c r="K685" t="s">
        <v>3746</v>
      </c>
      <c r="L685" t="s">
        <v>3189</v>
      </c>
      <c r="M685" s="1086">
        <v>176795.01</v>
      </c>
      <c r="N685" s="1086">
        <v>0</v>
      </c>
      <c r="O685" s="1086">
        <v>0</v>
      </c>
      <c r="P685" s="1086">
        <v>39477.82</v>
      </c>
      <c r="Q685" s="1086">
        <v>0</v>
      </c>
      <c r="R685" s="1086">
        <v>0</v>
      </c>
      <c r="S685" s="1086">
        <v>0</v>
      </c>
      <c r="T685" s="1086">
        <v>12958.45</v>
      </c>
      <c r="U685" s="1086">
        <v>1782.66</v>
      </c>
      <c r="V685" s="1086">
        <v>0</v>
      </c>
      <c r="W685" s="1086">
        <v>0</v>
      </c>
      <c r="X685" s="1086">
        <v>0</v>
      </c>
      <c r="Y685" s="1086">
        <v>0</v>
      </c>
      <c r="Z685" s="1086">
        <v>0</v>
      </c>
      <c r="AA685" s="1086">
        <v>0</v>
      </c>
      <c r="AB685" s="1086">
        <v>0</v>
      </c>
      <c r="AC685" s="1086">
        <v>122576.08</v>
      </c>
      <c r="AD685" s="1086" t="s">
        <v>248</v>
      </c>
      <c r="AE685" s="1086" t="s">
        <v>3883</v>
      </c>
      <c r="AF685" s="1086">
        <f t="shared" si="41"/>
        <v>122576.08</v>
      </c>
      <c r="AG685" s="1086">
        <f t="shared" si="40"/>
        <v>0</v>
      </c>
      <c r="AQ685" s="1086">
        <v>0</v>
      </c>
      <c r="AR685" s="1086">
        <v>0</v>
      </c>
      <c r="AS685" s="1086">
        <v>122576.08</v>
      </c>
      <c r="AT685" s="1086">
        <f t="shared" si="42"/>
        <v>0</v>
      </c>
      <c r="AV685" s="1150">
        <f t="shared" si="43"/>
        <v>54218.930000000008</v>
      </c>
    </row>
    <row r="686" spans="1:48" x14ac:dyDescent="0.2">
      <c r="A686" s="19">
        <v>700</v>
      </c>
      <c r="B686" t="s">
        <v>1986</v>
      </c>
      <c r="C686" t="s">
        <v>2076</v>
      </c>
      <c r="D686" t="s">
        <v>1039</v>
      </c>
      <c r="E686" t="s">
        <v>2174</v>
      </c>
      <c r="F686" t="s">
        <v>2370</v>
      </c>
      <c r="G686" t="s">
        <v>1250</v>
      </c>
      <c r="H686" t="s">
        <v>3825</v>
      </c>
      <c r="I686" t="s">
        <v>3846</v>
      </c>
      <c r="J686" t="s">
        <v>3266</v>
      </c>
      <c r="K686" t="s">
        <v>3747</v>
      </c>
      <c r="L686" t="s">
        <v>3190</v>
      </c>
      <c r="M686" s="1086">
        <v>29330.68</v>
      </c>
      <c r="N686" s="1086">
        <v>38000</v>
      </c>
      <c r="O686" s="1086">
        <v>0</v>
      </c>
      <c r="P686" s="1086">
        <v>19390.990000000002</v>
      </c>
      <c r="Q686" s="1086">
        <v>0</v>
      </c>
      <c r="R686" s="1086">
        <v>0</v>
      </c>
      <c r="S686" s="1086">
        <v>0</v>
      </c>
      <c r="T686" s="1086">
        <v>6541.04</v>
      </c>
      <c r="U686" s="1086">
        <v>11078.85</v>
      </c>
      <c r="V686" s="1086">
        <v>0</v>
      </c>
      <c r="W686" s="1086">
        <v>1449.46</v>
      </c>
      <c r="X686" s="1086">
        <v>1176.77</v>
      </c>
      <c r="Y686" s="1086">
        <v>0</v>
      </c>
      <c r="Z686" s="1086">
        <v>0</v>
      </c>
      <c r="AA686" s="1086">
        <v>5588.89</v>
      </c>
      <c r="AB686" s="1086">
        <v>0</v>
      </c>
      <c r="AC686" s="1086">
        <v>22104.68</v>
      </c>
      <c r="AD686" s="1086" t="s">
        <v>248</v>
      </c>
      <c r="AE686" s="1086" t="s">
        <v>3883</v>
      </c>
      <c r="AF686" s="1086">
        <f t="shared" si="41"/>
        <v>22104.679999999993</v>
      </c>
      <c r="AG686" s="1086">
        <f t="shared" si="40"/>
        <v>0</v>
      </c>
      <c r="AQ686" s="1086">
        <v>0</v>
      </c>
      <c r="AR686" s="1086">
        <v>0</v>
      </c>
      <c r="AS686" s="1086">
        <v>22104.68</v>
      </c>
      <c r="AT686" s="1086">
        <f t="shared" si="42"/>
        <v>0</v>
      </c>
      <c r="AV686" s="1150">
        <f t="shared" si="43"/>
        <v>45226</v>
      </c>
    </row>
    <row r="687" spans="1:48" x14ac:dyDescent="0.2">
      <c r="A687" s="19">
        <v>701</v>
      </c>
      <c r="B687" t="s">
        <v>1987</v>
      </c>
      <c r="C687" t="s">
        <v>2076</v>
      </c>
      <c r="D687" t="s">
        <v>1039</v>
      </c>
      <c r="E687" t="s">
        <v>2174</v>
      </c>
      <c r="F687" t="s">
        <v>2370</v>
      </c>
      <c r="G687" t="s">
        <v>1250</v>
      </c>
      <c r="H687" t="s">
        <v>3825</v>
      </c>
      <c r="I687" t="s">
        <v>3846</v>
      </c>
      <c r="J687" t="s">
        <v>3266</v>
      </c>
      <c r="K687" t="s">
        <v>3748</v>
      </c>
      <c r="L687" t="s">
        <v>3191</v>
      </c>
      <c r="M687" s="1086">
        <v>17891.560000000001</v>
      </c>
      <c r="N687" s="1086">
        <v>41851.07</v>
      </c>
      <c r="O687" s="1086">
        <v>0</v>
      </c>
      <c r="P687" s="1086">
        <v>0</v>
      </c>
      <c r="Q687" s="1086">
        <v>0</v>
      </c>
      <c r="R687" s="1086">
        <v>0</v>
      </c>
      <c r="S687" s="1086">
        <v>0</v>
      </c>
      <c r="T687" s="1086">
        <v>0</v>
      </c>
      <c r="U687" s="1086">
        <v>19040.87</v>
      </c>
      <c r="V687" s="1086">
        <v>0</v>
      </c>
      <c r="W687" s="1086">
        <v>23341.58</v>
      </c>
      <c r="X687" s="1086">
        <v>13489.65</v>
      </c>
      <c r="Y687" s="1086">
        <v>0</v>
      </c>
      <c r="Z687" s="1086">
        <v>0</v>
      </c>
      <c r="AA687" s="1086">
        <v>0</v>
      </c>
      <c r="AB687" s="1086">
        <v>0</v>
      </c>
      <c r="AC687" s="1086">
        <v>3870.53</v>
      </c>
      <c r="AD687" s="1086" t="s">
        <v>248</v>
      </c>
      <c r="AE687" s="1086" t="s">
        <v>3883</v>
      </c>
      <c r="AF687" s="1086">
        <f t="shared" si="41"/>
        <v>3870.5300000000061</v>
      </c>
      <c r="AG687" s="1086">
        <f t="shared" si="40"/>
        <v>-5.9117155615240335E-12</v>
      </c>
      <c r="AQ687" s="1086">
        <v>0</v>
      </c>
      <c r="AR687" s="1086">
        <v>0</v>
      </c>
      <c r="AS687" s="1086">
        <v>3870.53</v>
      </c>
      <c r="AT687" s="1086">
        <f t="shared" si="42"/>
        <v>0</v>
      </c>
      <c r="AV687" s="1150">
        <f t="shared" si="43"/>
        <v>55872.1</v>
      </c>
    </row>
    <row r="688" spans="1:48" x14ac:dyDescent="0.2">
      <c r="A688" s="19">
        <v>702</v>
      </c>
      <c r="B688" t="s">
        <v>1988</v>
      </c>
      <c r="C688" t="s">
        <v>2076</v>
      </c>
      <c r="D688" t="s">
        <v>1039</v>
      </c>
      <c r="E688" t="s">
        <v>2174</v>
      </c>
      <c r="F688" t="s">
        <v>2370</v>
      </c>
      <c r="G688" t="s">
        <v>1250</v>
      </c>
      <c r="H688" t="s">
        <v>3822</v>
      </c>
      <c r="I688" t="s">
        <v>3846</v>
      </c>
      <c r="J688" t="s">
        <v>3266</v>
      </c>
      <c r="K688" t="s">
        <v>3749</v>
      </c>
      <c r="L688" t="s">
        <v>3192</v>
      </c>
      <c r="M688" s="1086">
        <v>32498.78</v>
      </c>
      <c r="N688" s="1086">
        <v>0</v>
      </c>
      <c r="O688" s="1086">
        <v>0</v>
      </c>
      <c r="P688" s="1086">
        <v>17012.64</v>
      </c>
      <c r="Q688" s="1086">
        <v>0</v>
      </c>
      <c r="R688" s="1086">
        <v>0</v>
      </c>
      <c r="S688" s="1086">
        <v>0</v>
      </c>
      <c r="T688" s="1086">
        <v>4777.3100000000004</v>
      </c>
      <c r="U688" s="1086">
        <v>0</v>
      </c>
      <c r="V688" s="1086">
        <v>0</v>
      </c>
      <c r="W688" s="1086">
        <v>0</v>
      </c>
      <c r="X688" s="1086">
        <v>0</v>
      </c>
      <c r="Y688" s="1086">
        <v>0</v>
      </c>
      <c r="Z688" s="1086">
        <v>0</v>
      </c>
      <c r="AA688" s="1086">
        <v>0</v>
      </c>
      <c r="AB688" s="1086">
        <v>0</v>
      </c>
      <c r="AC688" s="1086">
        <v>10708.83</v>
      </c>
      <c r="AD688" s="1086" t="s">
        <v>248</v>
      </c>
      <c r="AE688" s="1086" t="s">
        <v>3883</v>
      </c>
      <c r="AF688" s="1086">
        <f t="shared" si="41"/>
        <v>10708.829999999998</v>
      </c>
      <c r="AG688" s="1086">
        <f t="shared" si="40"/>
        <v>0</v>
      </c>
      <c r="AQ688" s="1086">
        <v>0</v>
      </c>
      <c r="AR688" s="1086">
        <v>0</v>
      </c>
      <c r="AS688" s="1086">
        <v>10708.83</v>
      </c>
      <c r="AT688" s="1086">
        <f t="shared" si="42"/>
        <v>0</v>
      </c>
      <c r="AV688" s="1150">
        <f t="shared" si="43"/>
        <v>21789.95</v>
      </c>
    </row>
    <row r="689" spans="1:48" x14ac:dyDescent="0.2">
      <c r="A689" s="19">
        <v>703</v>
      </c>
      <c r="B689" t="s">
        <v>1989</v>
      </c>
      <c r="C689" t="s">
        <v>2076</v>
      </c>
      <c r="D689" t="s">
        <v>1039</v>
      </c>
      <c r="E689" t="s">
        <v>2174</v>
      </c>
      <c r="F689" t="s">
        <v>2370</v>
      </c>
      <c r="G689" t="s">
        <v>1250</v>
      </c>
      <c r="H689" t="s">
        <v>3825</v>
      </c>
      <c r="I689" t="s">
        <v>3846</v>
      </c>
      <c r="J689" t="s">
        <v>3266</v>
      </c>
      <c r="K689" t="s">
        <v>3750</v>
      </c>
      <c r="L689" t="s">
        <v>3193</v>
      </c>
      <c r="M689" s="1086">
        <v>1892.97</v>
      </c>
      <c r="N689" s="1086">
        <v>6500</v>
      </c>
      <c r="O689" s="1086">
        <v>0</v>
      </c>
      <c r="P689" s="1086">
        <v>0</v>
      </c>
      <c r="Q689" s="1086">
        <v>0</v>
      </c>
      <c r="R689" s="1086">
        <v>0</v>
      </c>
      <c r="S689" s="1086">
        <v>0</v>
      </c>
      <c r="T689" s="1086">
        <v>0</v>
      </c>
      <c r="U689" s="1086">
        <v>0</v>
      </c>
      <c r="V689" s="1086">
        <v>0</v>
      </c>
      <c r="W689" s="1086">
        <v>0</v>
      </c>
      <c r="X689" s="1086">
        <v>0</v>
      </c>
      <c r="Y689" s="1086">
        <v>0</v>
      </c>
      <c r="Z689" s="1086">
        <v>0</v>
      </c>
      <c r="AA689" s="1086">
        <v>2000</v>
      </c>
      <c r="AB689" s="1086">
        <v>0</v>
      </c>
      <c r="AC689" s="1086">
        <v>6392.97</v>
      </c>
      <c r="AD689" s="1086" t="s">
        <v>248</v>
      </c>
      <c r="AE689" s="1086" t="s">
        <v>3883</v>
      </c>
      <c r="AF689" s="1086">
        <f t="shared" si="41"/>
        <v>6392.9699999999993</v>
      </c>
      <c r="AG689" s="1086">
        <f t="shared" si="40"/>
        <v>0</v>
      </c>
      <c r="AQ689" s="1086">
        <v>0</v>
      </c>
      <c r="AR689" s="1086">
        <v>0</v>
      </c>
      <c r="AS689" s="1086">
        <v>6392.97</v>
      </c>
      <c r="AT689" s="1086">
        <f t="shared" si="42"/>
        <v>0</v>
      </c>
      <c r="AV689" s="1150">
        <f t="shared" si="43"/>
        <v>2000</v>
      </c>
    </row>
    <row r="690" spans="1:48" x14ac:dyDescent="0.2">
      <c r="A690" s="19">
        <v>704</v>
      </c>
      <c r="B690" t="s">
        <v>1990</v>
      </c>
      <c r="C690" t="s">
        <v>2076</v>
      </c>
      <c r="D690" t="s">
        <v>1039</v>
      </c>
      <c r="E690" t="s">
        <v>2174</v>
      </c>
      <c r="F690" t="s">
        <v>2370</v>
      </c>
      <c r="G690" t="s">
        <v>1250</v>
      </c>
      <c r="H690" t="s">
        <v>3825</v>
      </c>
      <c r="I690" t="s">
        <v>3846</v>
      </c>
      <c r="J690" t="s">
        <v>3266</v>
      </c>
      <c r="K690" t="s">
        <v>3751</v>
      </c>
      <c r="L690" t="s">
        <v>3194</v>
      </c>
      <c r="M690" s="1086">
        <v>52445.66</v>
      </c>
      <c r="N690" s="1086">
        <v>400856.17</v>
      </c>
      <c r="O690" s="1086">
        <v>0</v>
      </c>
      <c r="P690" s="1086">
        <v>0</v>
      </c>
      <c r="Q690" s="1086">
        <v>0</v>
      </c>
      <c r="R690" s="1086">
        <v>0</v>
      </c>
      <c r="S690" s="1086">
        <v>0</v>
      </c>
      <c r="T690" s="1086">
        <v>0</v>
      </c>
      <c r="U690" s="1086">
        <v>124787.35</v>
      </c>
      <c r="V690" s="1086">
        <v>0</v>
      </c>
      <c r="W690" s="1086">
        <v>67010.33</v>
      </c>
      <c r="X690" s="1086">
        <v>89094.02</v>
      </c>
      <c r="Y690" s="1086">
        <v>55.67</v>
      </c>
      <c r="Z690" s="1086">
        <v>0</v>
      </c>
      <c r="AA690" s="1086">
        <v>9900</v>
      </c>
      <c r="AB690" s="1086">
        <v>0</v>
      </c>
      <c r="AC690" s="1086">
        <v>162454.46</v>
      </c>
      <c r="AD690" s="1086" t="s">
        <v>248</v>
      </c>
      <c r="AE690" s="1086" t="s">
        <v>3883</v>
      </c>
      <c r="AF690" s="1086">
        <f t="shared" si="41"/>
        <v>162454.45999999996</v>
      </c>
      <c r="AG690" s="1086">
        <f t="shared" si="40"/>
        <v>0</v>
      </c>
      <c r="AQ690" s="1086">
        <v>0</v>
      </c>
      <c r="AR690" s="1086">
        <v>0</v>
      </c>
      <c r="AS690" s="1086">
        <v>162454.46</v>
      </c>
      <c r="AT690" s="1086">
        <f t="shared" si="42"/>
        <v>0</v>
      </c>
      <c r="AV690" s="1150">
        <f t="shared" si="43"/>
        <v>290847.37</v>
      </c>
    </row>
    <row r="691" spans="1:48" x14ac:dyDescent="0.2">
      <c r="A691" s="19">
        <v>705</v>
      </c>
      <c r="B691" t="s">
        <v>1991</v>
      </c>
      <c r="C691" t="s">
        <v>2076</v>
      </c>
      <c r="D691" t="s">
        <v>1039</v>
      </c>
      <c r="E691" t="s">
        <v>2174</v>
      </c>
      <c r="F691" t="s">
        <v>2370</v>
      </c>
      <c r="G691" t="s">
        <v>1250</v>
      </c>
      <c r="H691" t="s">
        <v>3825</v>
      </c>
      <c r="I691" t="s">
        <v>3846</v>
      </c>
      <c r="J691" t="s">
        <v>3266</v>
      </c>
      <c r="K691" t="s">
        <v>3752</v>
      </c>
      <c r="L691" t="s">
        <v>3195</v>
      </c>
      <c r="M691" s="1086">
        <v>53985.04</v>
      </c>
      <c r="N691" s="1086">
        <v>0</v>
      </c>
      <c r="O691" s="1086">
        <v>0</v>
      </c>
      <c r="P691" s="1086">
        <v>0</v>
      </c>
      <c r="Q691" s="1086">
        <v>0</v>
      </c>
      <c r="R691" s="1086">
        <v>0</v>
      </c>
      <c r="S691" s="1086">
        <v>0</v>
      </c>
      <c r="T691" s="1086">
        <v>0</v>
      </c>
      <c r="U691" s="1086">
        <v>17329.07</v>
      </c>
      <c r="V691" s="1086">
        <v>0</v>
      </c>
      <c r="W691" s="1086">
        <v>1800.89</v>
      </c>
      <c r="X691" s="1086">
        <v>1747.33</v>
      </c>
      <c r="Y691" s="1086">
        <v>0</v>
      </c>
      <c r="Z691" s="1086">
        <v>0</v>
      </c>
      <c r="AA691" s="1086">
        <v>1500</v>
      </c>
      <c r="AB691" s="1086">
        <v>0</v>
      </c>
      <c r="AC691" s="1086">
        <v>31607.75</v>
      </c>
      <c r="AD691" s="1086" t="s">
        <v>248</v>
      </c>
      <c r="AE691" s="1086" t="s">
        <v>3883</v>
      </c>
      <c r="AF691" s="1086">
        <f t="shared" si="41"/>
        <v>31607.75</v>
      </c>
      <c r="AG691" s="1086">
        <f t="shared" si="40"/>
        <v>0</v>
      </c>
      <c r="AQ691" s="1086">
        <v>0</v>
      </c>
      <c r="AR691" s="1086">
        <v>0</v>
      </c>
      <c r="AS691" s="1086">
        <v>31607.75</v>
      </c>
      <c r="AT691" s="1086">
        <f t="shared" si="42"/>
        <v>0</v>
      </c>
      <c r="AV691" s="1150">
        <f t="shared" si="43"/>
        <v>22377.29</v>
      </c>
    </row>
    <row r="692" spans="1:48" x14ac:dyDescent="0.2">
      <c r="A692" s="19">
        <v>706</v>
      </c>
      <c r="B692" t="s">
        <v>1992</v>
      </c>
      <c r="C692" t="s">
        <v>2076</v>
      </c>
      <c r="D692" t="s">
        <v>1039</v>
      </c>
      <c r="E692" t="s">
        <v>2174</v>
      </c>
      <c r="F692" t="s">
        <v>2370</v>
      </c>
      <c r="G692" t="s">
        <v>1250</v>
      </c>
      <c r="H692" t="s">
        <v>3825</v>
      </c>
      <c r="I692">
        <v>0</v>
      </c>
      <c r="L692" t="s">
        <v>3196</v>
      </c>
      <c r="M692" s="1086">
        <v>3528.98</v>
      </c>
      <c r="N692" s="1086">
        <v>0</v>
      </c>
      <c r="O692" s="1086">
        <v>0</v>
      </c>
      <c r="P692" s="1086">
        <v>2893.63</v>
      </c>
      <c r="Q692" s="1086">
        <v>0</v>
      </c>
      <c r="R692" s="1086">
        <v>0</v>
      </c>
      <c r="S692" s="1086">
        <v>0</v>
      </c>
      <c r="T692" s="1086">
        <v>635.35</v>
      </c>
      <c r="U692" s="1086">
        <v>0</v>
      </c>
      <c r="V692" s="1086">
        <v>0</v>
      </c>
      <c r="W692" s="1086">
        <v>0</v>
      </c>
      <c r="X692" s="1086">
        <v>0</v>
      </c>
      <c r="Y692" s="1086">
        <v>0</v>
      </c>
      <c r="Z692" s="1086">
        <v>0</v>
      </c>
      <c r="AA692" s="1086">
        <v>0</v>
      </c>
      <c r="AB692" s="1086">
        <v>0</v>
      </c>
      <c r="AC692" s="1086">
        <v>0</v>
      </c>
      <c r="AD692" s="1086" t="s">
        <v>248</v>
      </c>
      <c r="AE692" s="1086" t="s">
        <v>3883</v>
      </c>
      <c r="AF692" s="1086">
        <f t="shared" si="41"/>
        <v>0</v>
      </c>
      <c r="AG692" s="1086">
        <f t="shared" si="40"/>
        <v>0</v>
      </c>
      <c r="AQ692" s="1086">
        <v>0</v>
      </c>
      <c r="AR692" s="1086">
        <v>0</v>
      </c>
      <c r="AS692" s="1086">
        <v>0</v>
      </c>
      <c r="AT692" s="1086">
        <f t="shared" si="42"/>
        <v>0</v>
      </c>
      <c r="AV692" s="1150">
        <f t="shared" si="43"/>
        <v>3528.98</v>
      </c>
    </row>
    <row r="693" spans="1:48" x14ac:dyDescent="0.2">
      <c r="A693" s="19">
        <v>707</v>
      </c>
      <c r="B693" t="s">
        <v>1993</v>
      </c>
      <c r="C693" t="s">
        <v>2076</v>
      </c>
      <c r="D693" t="s">
        <v>1059</v>
      </c>
      <c r="E693" t="s">
        <v>2271</v>
      </c>
      <c r="F693" t="s">
        <v>2464</v>
      </c>
      <c r="G693" t="s">
        <v>1250</v>
      </c>
      <c r="H693" t="s">
        <v>3824</v>
      </c>
      <c r="I693" t="s">
        <v>3846</v>
      </c>
      <c r="J693" t="s">
        <v>3753</v>
      </c>
      <c r="K693" t="s">
        <v>3754</v>
      </c>
      <c r="L693" t="s">
        <v>3197</v>
      </c>
      <c r="M693" s="1086">
        <v>159923.21</v>
      </c>
      <c r="N693" s="1086">
        <v>169408.95</v>
      </c>
      <c r="O693" s="1086">
        <v>0</v>
      </c>
      <c r="P693" s="1086">
        <v>54580.85</v>
      </c>
      <c r="Q693" s="1086">
        <v>0</v>
      </c>
      <c r="R693" s="1086">
        <v>0</v>
      </c>
      <c r="S693" s="1086">
        <v>4315</v>
      </c>
      <c r="T693" s="1086">
        <v>5423.52</v>
      </c>
      <c r="U693" s="1086">
        <v>114272.77</v>
      </c>
      <c r="V693" s="1086">
        <v>0</v>
      </c>
      <c r="W693" s="1086">
        <v>36.630000000000003</v>
      </c>
      <c r="X693" s="1086">
        <v>0</v>
      </c>
      <c r="Y693" s="1086">
        <v>0</v>
      </c>
      <c r="Z693" s="1086">
        <v>0</v>
      </c>
      <c r="AA693" s="1086">
        <v>0</v>
      </c>
      <c r="AB693" s="1086">
        <v>0</v>
      </c>
      <c r="AC693" s="1086">
        <v>150703.39000000001</v>
      </c>
      <c r="AD693" s="1086" t="s">
        <v>248</v>
      </c>
      <c r="AE693" s="1086" t="s">
        <v>3883</v>
      </c>
      <c r="AF693" s="1086">
        <f t="shared" si="41"/>
        <v>150703.39000000001</v>
      </c>
      <c r="AG693" s="1086">
        <f t="shared" ref="AG693:AG755" si="44">AC693-AF693</f>
        <v>0</v>
      </c>
      <c r="AQ693" s="1086">
        <v>0</v>
      </c>
      <c r="AR693" s="1086">
        <v>0</v>
      </c>
      <c r="AS693" s="1086">
        <v>150703.39000000001</v>
      </c>
      <c r="AT693" s="1086">
        <f t="shared" si="42"/>
        <v>0</v>
      </c>
      <c r="AV693" s="1150">
        <f t="shared" si="43"/>
        <v>178628.77000000002</v>
      </c>
    </row>
    <row r="694" spans="1:48" x14ac:dyDescent="0.2">
      <c r="A694" s="19">
        <v>708</v>
      </c>
      <c r="B694" t="s">
        <v>1994</v>
      </c>
      <c r="C694" t="s">
        <v>2076</v>
      </c>
      <c r="D694" t="s">
        <v>1040</v>
      </c>
      <c r="E694" t="s">
        <v>2177</v>
      </c>
      <c r="F694" t="s">
        <v>2373</v>
      </c>
      <c r="G694" t="s">
        <v>1257</v>
      </c>
      <c r="H694" t="s">
        <v>3826</v>
      </c>
      <c r="I694">
        <v>0</v>
      </c>
      <c r="L694" t="s">
        <v>3198</v>
      </c>
      <c r="M694" s="1086">
        <v>17922.88</v>
      </c>
      <c r="N694" s="1086">
        <v>625</v>
      </c>
      <c r="O694" s="1086">
        <v>0</v>
      </c>
      <c r="P694" s="1086">
        <v>0</v>
      </c>
      <c r="Q694" s="1086">
        <v>0</v>
      </c>
      <c r="R694" s="1086">
        <v>0</v>
      </c>
      <c r="S694" s="1086">
        <v>0</v>
      </c>
      <c r="T694" s="1086">
        <v>0</v>
      </c>
      <c r="U694" s="1086">
        <v>576.82000000000005</v>
      </c>
      <c r="V694" s="1086">
        <v>0</v>
      </c>
      <c r="W694" s="1086">
        <v>2841.39</v>
      </c>
      <c r="X694" s="1086">
        <v>0</v>
      </c>
      <c r="Y694" s="1086">
        <v>0</v>
      </c>
      <c r="Z694" s="1086">
        <v>0</v>
      </c>
      <c r="AA694" s="1086">
        <v>0</v>
      </c>
      <c r="AB694" s="1086">
        <v>0</v>
      </c>
      <c r="AC694" s="1086">
        <v>15129.67</v>
      </c>
      <c r="AD694" s="1086" t="s">
        <v>248</v>
      </c>
      <c r="AE694" s="1086" t="s">
        <v>3883</v>
      </c>
      <c r="AF694" s="1086">
        <f t="shared" si="41"/>
        <v>15129.670000000002</v>
      </c>
      <c r="AG694" s="1086">
        <f t="shared" si="44"/>
        <v>0</v>
      </c>
      <c r="AQ694" s="1086">
        <v>0</v>
      </c>
      <c r="AR694" s="1086">
        <v>0</v>
      </c>
      <c r="AS694" s="1086">
        <v>15129.67</v>
      </c>
      <c r="AT694" s="1086">
        <f t="shared" si="42"/>
        <v>0</v>
      </c>
      <c r="AV694" s="1150">
        <f t="shared" si="43"/>
        <v>3418.21</v>
      </c>
    </row>
    <row r="695" spans="1:48" x14ac:dyDescent="0.2">
      <c r="A695" s="19">
        <v>709</v>
      </c>
      <c r="B695" t="s">
        <v>1995</v>
      </c>
      <c r="C695" t="s">
        <v>2076</v>
      </c>
      <c r="D695" t="s">
        <v>1050</v>
      </c>
      <c r="E695" t="s">
        <v>2179</v>
      </c>
      <c r="F695" t="s">
        <v>2375</v>
      </c>
      <c r="G695" t="s">
        <v>1250</v>
      </c>
      <c r="H695" t="s">
        <v>3825</v>
      </c>
      <c r="I695" t="s">
        <v>3846</v>
      </c>
      <c r="J695" t="s">
        <v>3272</v>
      </c>
      <c r="K695" t="s">
        <v>3755</v>
      </c>
      <c r="L695" t="s">
        <v>3199</v>
      </c>
      <c r="M695" s="1086">
        <v>1893.24</v>
      </c>
      <c r="N695" s="1086">
        <v>45000</v>
      </c>
      <c r="O695" s="1086">
        <v>0</v>
      </c>
      <c r="P695" s="1086">
        <v>0</v>
      </c>
      <c r="Q695" s="1086">
        <v>0</v>
      </c>
      <c r="R695" s="1086">
        <v>0</v>
      </c>
      <c r="S695" s="1086">
        <v>0</v>
      </c>
      <c r="T695" s="1086">
        <v>0</v>
      </c>
      <c r="U695" s="1086">
        <v>2439.27</v>
      </c>
      <c r="V695" s="1086">
        <v>0</v>
      </c>
      <c r="W695" s="1086">
        <v>5.07</v>
      </c>
      <c r="X695" s="1086">
        <v>6471.13</v>
      </c>
      <c r="Y695" s="1086">
        <v>0</v>
      </c>
      <c r="Z695" s="1086">
        <v>0</v>
      </c>
      <c r="AA695" s="1086">
        <v>0</v>
      </c>
      <c r="AB695" s="1086">
        <v>0</v>
      </c>
      <c r="AC695" s="1086">
        <v>37977.769999999997</v>
      </c>
      <c r="AD695" s="1086" t="s">
        <v>248</v>
      </c>
      <c r="AE695" s="1086" t="s">
        <v>3883</v>
      </c>
      <c r="AF695" s="1086">
        <f t="shared" si="41"/>
        <v>37977.769999999997</v>
      </c>
      <c r="AG695" s="1086">
        <f t="shared" si="44"/>
        <v>0</v>
      </c>
      <c r="AQ695" s="1086">
        <v>0</v>
      </c>
      <c r="AR695" s="1086">
        <v>0</v>
      </c>
      <c r="AS695" s="1086">
        <v>37977.769999999997</v>
      </c>
      <c r="AT695" s="1086">
        <f t="shared" si="42"/>
        <v>0</v>
      </c>
      <c r="AV695" s="1150">
        <f t="shared" si="43"/>
        <v>8915.4700000000012</v>
      </c>
    </row>
    <row r="696" spans="1:48" x14ac:dyDescent="0.2">
      <c r="A696" s="19">
        <v>710</v>
      </c>
      <c r="B696" t="s">
        <v>1996</v>
      </c>
      <c r="C696" t="s">
        <v>2076</v>
      </c>
      <c r="D696" t="s">
        <v>1050</v>
      </c>
      <c r="E696" t="s">
        <v>2179</v>
      </c>
      <c r="F696" t="s">
        <v>2375</v>
      </c>
      <c r="G696" t="s">
        <v>1250</v>
      </c>
      <c r="H696" t="s">
        <v>3825</v>
      </c>
      <c r="I696" t="s">
        <v>3251</v>
      </c>
      <c r="J696" t="s">
        <v>3251</v>
      </c>
      <c r="K696" t="s">
        <v>3251</v>
      </c>
      <c r="L696" t="s">
        <v>3200</v>
      </c>
      <c r="M696" s="1086">
        <v>84309.98</v>
      </c>
      <c r="N696" s="1086">
        <v>400000</v>
      </c>
      <c r="O696" s="1086">
        <v>0</v>
      </c>
      <c r="P696" s="1086">
        <v>193367.25</v>
      </c>
      <c r="Q696" s="1086">
        <v>11250</v>
      </c>
      <c r="R696" s="1086">
        <v>0</v>
      </c>
      <c r="S696" s="1086">
        <v>0</v>
      </c>
      <c r="T696" s="1086">
        <v>51906.12</v>
      </c>
      <c r="U696" s="1086">
        <v>84552.34</v>
      </c>
      <c r="V696" s="1086">
        <v>75.069999999999993</v>
      </c>
      <c r="W696" s="1086">
        <v>7613.29</v>
      </c>
      <c r="X696" s="1086">
        <v>7785.69</v>
      </c>
      <c r="Y696" s="1086">
        <v>0</v>
      </c>
      <c r="Z696" s="1086">
        <v>0</v>
      </c>
      <c r="AA696" s="1086">
        <v>56077.35</v>
      </c>
      <c r="AB696" s="1086">
        <v>0</v>
      </c>
      <c r="AC696" s="1086">
        <v>71682.87</v>
      </c>
      <c r="AD696" s="1086" t="s">
        <v>248</v>
      </c>
      <c r="AE696" s="1086" t="s">
        <v>3883</v>
      </c>
      <c r="AF696" s="1086">
        <f t="shared" si="41"/>
        <v>71682.870000000054</v>
      </c>
      <c r="AG696" s="1086">
        <f t="shared" si="44"/>
        <v>0</v>
      </c>
      <c r="AQ696" s="1086">
        <v>0</v>
      </c>
      <c r="AR696" s="1086">
        <v>0</v>
      </c>
      <c r="AS696" s="1086">
        <v>71682.87</v>
      </c>
      <c r="AT696" s="1086">
        <f t="shared" si="42"/>
        <v>0</v>
      </c>
      <c r="AV696" s="1150">
        <f t="shared" si="43"/>
        <v>412627.10999999993</v>
      </c>
    </row>
    <row r="697" spans="1:48" x14ac:dyDescent="0.2">
      <c r="A697" s="19">
        <v>711</v>
      </c>
      <c r="B697" t="s">
        <v>1997</v>
      </c>
      <c r="C697" t="s">
        <v>2076</v>
      </c>
      <c r="D697" t="s">
        <v>1050</v>
      </c>
      <c r="E697" t="s">
        <v>2179</v>
      </c>
      <c r="F697" t="s">
        <v>2375</v>
      </c>
      <c r="G697" t="s">
        <v>1250</v>
      </c>
      <c r="H697" t="s">
        <v>3825</v>
      </c>
      <c r="I697" t="s">
        <v>3251</v>
      </c>
      <c r="J697" t="s">
        <v>3251</v>
      </c>
      <c r="K697" t="s">
        <v>3251</v>
      </c>
      <c r="L697" t="s">
        <v>3201</v>
      </c>
      <c r="M697" s="1086">
        <v>29835.88</v>
      </c>
      <c r="N697" s="1086">
        <v>275000</v>
      </c>
      <c r="O697" s="1086">
        <v>0</v>
      </c>
      <c r="P697" s="1086">
        <v>55775.21</v>
      </c>
      <c r="Q697" s="1086">
        <v>2812.5</v>
      </c>
      <c r="R697" s="1086">
        <v>0</v>
      </c>
      <c r="S697" s="1086">
        <v>83.25</v>
      </c>
      <c r="T697" s="1086">
        <v>14259.89</v>
      </c>
      <c r="U697" s="1086">
        <v>8212.1</v>
      </c>
      <c r="V697" s="1086">
        <v>0</v>
      </c>
      <c r="W697" s="1086">
        <v>13760.54</v>
      </c>
      <c r="X697" s="1086">
        <v>1171.8599999999999</v>
      </c>
      <c r="Y697" s="1086">
        <v>0</v>
      </c>
      <c r="Z697" s="1086">
        <v>0</v>
      </c>
      <c r="AA697" s="1086">
        <v>0</v>
      </c>
      <c r="AB697" s="1086">
        <v>0</v>
      </c>
      <c r="AC697" s="1086">
        <v>208760.53</v>
      </c>
      <c r="AD697" s="1086" t="s">
        <v>248</v>
      </c>
      <c r="AE697" s="1086" t="s">
        <v>3883</v>
      </c>
      <c r="AF697" s="1086">
        <f t="shared" si="41"/>
        <v>208760.52999999997</v>
      </c>
      <c r="AG697" s="1086">
        <f t="shared" si="44"/>
        <v>0</v>
      </c>
      <c r="AQ697" s="1086">
        <v>0</v>
      </c>
      <c r="AR697" s="1086">
        <v>0</v>
      </c>
      <c r="AS697" s="1086">
        <v>208760.53</v>
      </c>
      <c r="AT697" s="1086">
        <f t="shared" si="42"/>
        <v>0</v>
      </c>
      <c r="AV697" s="1150">
        <f t="shared" si="43"/>
        <v>96075.35000000002</v>
      </c>
    </row>
    <row r="698" spans="1:48" x14ac:dyDescent="0.2">
      <c r="A698" s="19">
        <v>712</v>
      </c>
      <c r="B698" t="s">
        <v>1998</v>
      </c>
      <c r="C698" t="s">
        <v>2076</v>
      </c>
      <c r="D698" t="s">
        <v>1059</v>
      </c>
      <c r="E698" t="s">
        <v>2183</v>
      </c>
      <c r="F698" t="s">
        <v>2379</v>
      </c>
      <c r="G698" t="s">
        <v>1250</v>
      </c>
      <c r="H698" t="s">
        <v>3825</v>
      </c>
      <c r="I698" t="s">
        <v>3846</v>
      </c>
      <c r="J698" t="s">
        <v>3257</v>
      </c>
      <c r="K698" t="s">
        <v>3756</v>
      </c>
      <c r="L698" t="s">
        <v>3202</v>
      </c>
      <c r="M698" s="1086">
        <v>22187.27</v>
      </c>
      <c r="N698" s="1086">
        <v>0</v>
      </c>
      <c r="O698" s="1086">
        <v>0</v>
      </c>
      <c r="P698" s="1086">
        <v>0</v>
      </c>
      <c r="Q698" s="1086">
        <v>0</v>
      </c>
      <c r="R698" s="1086">
        <v>0</v>
      </c>
      <c r="S698" s="1086">
        <v>214</v>
      </c>
      <c r="T698" s="1086">
        <v>3.22</v>
      </c>
      <c r="U698" s="1086">
        <v>2615</v>
      </c>
      <c r="V698" s="1086">
        <v>0</v>
      </c>
      <c r="W698" s="1086">
        <v>0</v>
      </c>
      <c r="X698" s="1086">
        <v>0</v>
      </c>
      <c r="Y698" s="1086">
        <v>0</v>
      </c>
      <c r="Z698" s="1086">
        <v>0</v>
      </c>
      <c r="AA698" s="1086">
        <v>0</v>
      </c>
      <c r="AB698" s="1086">
        <v>0</v>
      </c>
      <c r="AC698" s="1086">
        <v>19355.05</v>
      </c>
      <c r="AD698" s="1086" t="s">
        <v>248</v>
      </c>
      <c r="AE698" s="1086" t="s">
        <v>3883</v>
      </c>
      <c r="AF698" s="1086">
        <f t="shared" si="41"/>
        <v>19355.05</v>
      </c>
      <c r="AG698" s="1086">
        <f t="shared" si="44"/>
        <v>0</v>
      </c>
      <c r="AQ698" s="1086">
        <v>0</v>
      </c>
      <c r="AR698" s="1086">
        <v>0</v>
      </c>
      <c r="AS698" s="1086">
        <v>19355.05</v>
      </c>
      <c r="AT698" s="1086">
        <f t="shared" si="42"/>
        <v>0</v>
      </c>
      <c r="AV698" s="1150">
        <f t="shared" si="43"/>
        <v>2832.22</v>
      </c>
    </row>
    <row r="699" spans="1:48" x14ac:dyDescent="0.2">
      <c r="A699" s="19">
        <v>713</v>
      </c>
      <c r="B699" t="s">
        <v>1999</v>
      </c>
      <c r="C699" t="s">
        <v>2076</v>
      </c>
      <c r="D699" t="s">
        <v>1026</v>
      </c>
      <c r="E699" t="s">
        <v>2237</v>
      </c>
      <c r="F699" t="s">
        <v>2431</v>
      </c>
      <c r="G699" t="s">
        <v>1250</v>
      </c>
      <c r="H699" t="s">
        <v>3825</v>
      </c>
      <c r="I699" t="s">
        <v>3846</v>
      </c>
      <c r="J699" t="s">
        <v>3357</v>
      </c>
      <c r="K699" t="s">
        <v>3757</v>
      </c>
      <c r="L699" t="s">
        <v>3203</v>
      </c>
      <c r="M699" s="1086">
        <v>23197.45</v>
      </c>
      <c r="N699" s="1086">
        <v>0</v>
      </c>
      <c r="O699" s="1086">
        <v>5911</v>
      </c>
      <c r="P699" s="1086">
        <v>0</v>
      </c>
      <c r="Q699" s="1086">
        <v>0</v>
      </c>
      <c r="R699" s="1086">
        <v>0</v>
      </c>
      <c r="S699" s="1086">
        <v>0</v>
      </c>
      <c r="T699" s="1086">
        <v>0</v>
      </c>
      <c r="U699" s="1086">
        <v>0</v>
      </c>
      <c r="V699" s="1086">
        <v>0</v>
      </c>
      <c r="W699" s="1086">
        <v>0</v>
      </c>
      <c r="X699" s="1086">
        <v>0</v>
      </c>
      <c r="Y699" s="1086">
        <v>0</v>
      </c>
      <c r="Z699" s="1086">
        <v>0</v>
      </c>
      <c r="AA699" s="1086">
        <v>0</v>
      </c>
      <c r="AB699" s="1086">
        <v>0</v>
      </c>
      <c r="AC699" s="1086">
        <v>29108.45</v>
      </c>
      <c r="AD699" s="1086" t="s">
        <v>248</v>
      </c>
      <c r="AE699" s="1086" t="s">
        <v>3883</v>
      </c>
      <c r="AF699" s="1086">
        <f t="shared" si="41"/>
        <v>29108.45</v>
      </c>
      <c r="AG699" s="1086">
        <f t="shared" si="44"/>
        <v>0</v>
      </c>
      <c r="AQ699" s="1086">
        <v>0</v>
      </c>
      <c r="AR699" s="1086">
        <v>0</v>
      </c>
      <c r="AS699" s="1086">
        <v>29108.45</v>
      </c>
      <c r="AT699" s="1086">
        <f t="shared" si="42"/>
        <v>0</v>
      </c>
      <c r="AV699" s="1150">
        <f t="shared" si="43"/>
        <v>0</v>
      </c>
    </row>
    <row r="700" spans="1:48" x14ac:dyDescent="0.2">
      <c r="A700" s="19">
        <v>714</v>
      </c>
      <c r="B700" t="s">
        <v>2000</v>
      </c>
      <c r="C700" t="s">
        <v>2076</v>
      </c>
      <c r="D700" t="s">
        <v>1049</v>
      </c>
      <c r="E700" t="s">
        <v>2187</v>
      </c>
      <c r="F700" t="s">
        <v>2382</v>
      </c>
      <c r="G700" t="s">
        <v>1250</v>
      </c>
      <c r="H700" t="s">
        <v>3825</v>
      </c>
      <c r="I700" t="s">
        <v>3846</v>
      </c>
      <c r="J700" t="s">
        <v>3270</v>
      </c>
      <c r="K700" t="s">
        <v>3758</v>
      </c>
      <c r="L700" t="s">
        <v>3204</v>
      </c>
      <c r="M700" s="1086">
        <v>2843.96</v>
      </c>
      <c r="N700" s="1086">
        <v>270412.5</v>
      </c>
      <c r="O700" s="1086">
        <v>0</v>
      </c>
      <c r="P700" s="1086">
        <v>91140.62</v>
      </c>
      <c r="Q700" s="1086">
        <v>0</v>
      </c>
      <c r="R700" s="1086">
        <v>0</v>
      </c>
      <c r="S700" s="1086">
        <v>0</v>
      </c>
      <c r="T700" s="1086">
        <v>5212.1400000000003</v>
      </c>
      <c r="U700" s="1086">
        <v>110644.05</v>
      </c>
      <c r="V700" s="1086">
        <v>0</v>
      </c>
      <c r="W700" s="1086">
        <v>31.61</v>
      </c>
      <c r="X700" s="1086">
        <v>74.47</v>
      </c>
      <c r="Y700" s="1086">
        <v>0</v>
      </c>
      <c r="Z700" s="1086">
        <v>0</v>
      </c>
      <c r="AA700" s="1086">
        <v>0</v>
      </c>
      <c r="AB700" s="1086">
        <v>0</v>
      </c>
      <c r="AC700" s="1086">
        <v>66153.570000000007</v>
      </c>
      <c r="AD700" s="1086" t="s">
        <v>248</v>
      </c>
      <c r="AE700" s="1086" t="s">
        <v>3883</v>
      </c>
      <c r="AF700" s="1086">
        <f t="shared" si="41"/>
        <v>66153.570000000036</v>
      </c>
      <c r="AG700" s="1086">
        <f t="shared" si="44"/>
        <v>0</v>
      </c>
      <c r="AQ700" s="1086">
        <v>0</v>
      </c>
      <c r="AR700" s="1086">
        <v>0</v>
      </c>
      <c r="AS700" s="1086">
        <v>66153.570000000007</v>
      </c>
      <c r="AT700" s="1086">
        <f t="shared" si="42"/>
        <v>0</v>
      </c>
      <c r="AV700" s="1150">
        <f t="shared" si="43"/>
        <v>207102.88999999998</v>
      </c>
    </row>
    <row r="701" spans="1:48" x14ac:dyDescent="0.2">
      <c r="A701" s="19">
        <v>715</v>
      </c>
      <c r="B701" t="s">
        <v>2001</v>
      </c>
      <c r="C701" t="s">
        <v>2076</v>
      </c>
      <c r="D701" t="s">
        <v>1049</v>
      </c>
      <c r="E701" t="s">
        <v>2187</v>
      </c>
      <c r="F701" t="s">
        <v>2382</v>
      </c>
      <c r="G701" t="s">
        <v>1250</v>
      </c>
      <c r="H701" t="s">
        <v>3822</v>
      </c>
      <c r="I701" t="s">
        <v>3846</v>
      </c>
      <c r="J701" t="s">
        <v>3270</v>
      </c>
      <c r="K701" t="s">
        <v>3759</v>
      </c>
      <c r="L701" t="s">
        <v>3205</v>
      </c>
      <c r="M701" s="1086">
        <v>25322.31</v>
      </c>
      <c r="N701" s="1086">
        <v>933615.02</v>
      </c>
      <c r="O701" s="1086">
        <v>0</v>
      </c>
      <c r="P701" s="1086">
        <v>320388.40999999997</v>
      </c>
      <c r="Q701" s="1086">
        <v>0</v>
      </c>
      <c r="R701" s="1086">
        <v>36168.01</v>
      </c>
      <c r="S701" s="1086">
        <v>2211</v>
      </c>
      <c r="T701" s="1086">
        <v>112703.29</v>
      </c>
      <c r="U701" s="1086">
        <v>409418.82</v>
      </c>
      <c r="V701" s="1086">
        <v>0</v>
      </c>
      <c r="W701" s="1086">
        <v>8616.0400000000009</v>
      </c>
      <c r="X701" s="1086">
        <v>27258.35</v>
      </c>
      <c r="Y701" s="1086">
        <v>0</v>
      </c>
      <c r="Z701" s="1086">
        <v>0</v>
      </c>
      <c r="AA701" s="1086">
        <v>0</v>
      </c>
      <c r="AB701" s="1086">
        <v>0</v>
      </c>
      <c r="AC701" s="1086">
        <v>42173.41</v>
      </c>
      <c r="AD701" s="1086" t="s">
        <v>248</v>
      </c>
      <c r="AE701" s="1086" t="s">
        <v>3883</v>
      </c>
      <c r="AF701" s="1086">
        <f t="shared" si="41"/>
        <v>42173.410000000033</v>
      </c>
      <c r="AG701" s="1086">
        <f t="shared" si="44"/>
        <v>0</v>
      </c>
      <c r="AQ701" s="1086">
        <v>0</v>
      </c>
      <c r="AR701" s="1086">
        <v>0</v>
      </c>
      <c r="AS701" s="1086">
        <v>42173.41</v>
      </c>
      <c r="AT701" s="1086">
        <f t="shared" si="42"/>
        <v>0</v>
      </c>
      <c r="AV701" s="1150">
        <f t="shared" si="43"/>
        <v>916763.92</v>
      </c>
    </row>
    <row r="702" spans="1:48" x14ac:dyDescent="0.2">
      <c r="A702" s="19">
        <v>716</v>
      </c>
      <c r="B702" t="s">
        <v>2002</v>
      </c>
      <c r="C702" t="s">
        <v>2076</v>
      </c>
      <c r="D702" t="s">
        <v>1049</v>
      </c>
      <c r="E702" t="s">
        <v>2187</v>
      </c>
      <c r="F702" t="s">
        <v>2382</v>
      </c>
      <c r="G702" t="s">
        <v>1250</v>
      </c>
      <c r="H702" t="s">
        <v>3822</v>
      </c>
      <c r="I702" t="s">
        <v>3251</v>
      </c>
      <c r="J702" t="s">
        <v>3251</v>
      </c>
      <c r="K702" t="s">
        <v>3251</v>
      </c>
      <c r="L702" t="s">
        <v>3206</v>
      </c>
      <c r="M702" s="1086">
        <v>0</v>
      </c>
      <c r="N702" s="1086">
        <v>431819.12</v>
      </c>
      <c r="O702" s="1086">
        <v>0</v>
      </c>
      <c r="P702" s="1086">
        <v>0</v>
      </c>
      <c r="Q702" s="1086">
        <v>0</v>
      </c>
      <c r="R702" s="1086">
        <v>0</v>
      </c>
      <c r="S702" s="1086">
        <v>0</v>
      </c>
      <c r="T702" s="1086">
        <v>0</v>
      </c>
      <c r="U702" s="1086">
        <v>23039.439999999999</v>
      </c>
      <c r="V702" s="1086">
        <v>0</v>
      </c>
      <c r="W702" s="1086">
        <v>0</v>
      </c>
      <c r="X702" s="1086">
        <v>0</v>
      </c>
      <c r="Y702" s="1086">
        <v>0</v>
      </c>
      <c r="Z702" s="1086">
        <v>0</v>
      </c>
      <c r="AA702" s="1086">
        <v>0</v>
      </c>
      <c r="AB702" s="1086">
        <v>0</v>
      </c>
      <c r="AC702" s="1086">
        <v>408779.68</v>
      </c>
      <c r="AD702" s="1086" t="s">
        <v>248</v>
      </c>
      <c r="AE702" s="1086" t="s">
        <v>3883</v>
      </c>
      <c r="AF702" s="1086">
        <f t="shared" si="41"/>
        <v>408779.68</v>
      </c>
      <c r="AG702" s="1086">
        <f t="shared" si="44"/>
        <v>0</v>
      </c>
      <c r="AQ702" s="1086">
        <v>0</v>
      </c>
      <c r="AR702" s="1086">
        <v>0</v>
      </c>
      <c r="AS702" s="1086">
        <v>408779.68</v>
      </c>
      <c r="AT702" s="1086">
        <f t="shared" si="42"/>
        <v>0</v>
      </c>
      <c r="AV702" s="1150">
        <f t="shared" si="43"/>
        <v>23039.439999999999</v>
      </c>
    </row>
    <row r="703" spans="1:48" x14ac:dyDescent="0.2">
      <c r="A703" s="19">
        <v>717</v>
      </c>
      <c r="B703" t="s">
        <v>2003</v>
      </c>
      <c r="C703" t="s">
        <v>2076</v>
      </c>
      <c r="D703" t="s">
        <v>1033</v>
      </c>
      <c r="E703" t="s">
        <v>2188</v>
      </c>
      <c r="F703" t="s">
        <v>2383</v>
      </c>
      <c r="G703" t="s">
        <v>1250</v>
      </c>
      <c r="H703" t="s">
        <v>3825</v>
      </c>
      <c r="I703" t="s">
        <v>3846</v>
      </c>
      <c r="J703" t="s">
        <v>3482</v>
      </c>
      <c r="K703" t="s">
        <v>3760</v>
      </c>
      <c r="L703" t="s">
        <v>3207</v>
      </c>
      <c r="M703" s="1086">
        <v>1588.44</v>
      </c>
      <c r="N703" s="1086">
        <v>5000</v>
      </c>
      <c r="O703" s="1086">
        <v>0</v>
      </c>
      <c r="P703" s="1086">
        <v>0</v>
      </c>
      <c r="Q703" s="1086">
        <v>0</v>
      </c>
      <c r="R703" s="1086">
        <v>0</v>
      </c>
      <c r="S703" s="1086">
        <v>0</v>
      </c>
      <c r="T703" s="1086">
        <v>0</v>
      </c>
      <c r="U703" s="1086">
        <v>3700.68</v>
      </c>
      <c r="V703" s="1086">
        <v>0</v>
      </c>
      <c r="W703" s="1086">
        <v>0</v>
      </c>
      <c r="X703" s="1086">
        <v>0</v>
      </c>
      <c r="Y703" s="1086">
        <v>0</v>
      </c>
      <c r="Z703" s="1086">
        <v>0</v>
      </c>
      <c r="AA703" s="1086">
        <v>0</v>
      </c>
      <c r="AB703" s="1086">
        <v>0</v>
      </c>
      <c r="AC703" s="1086">
        <v>2887.76</v>
      </c>
      <c r="AD703" s="1086" t="s">
        <v>248</v>
      </c>
      <c r="AE703" s="1086" t="s">
        <v>3883</v>
      </c>
      <c r="AF703" s="1086">
        <f t="shared" si="41"/>
        <v>2887.7600000000007</v>
      </c>
      <c r="AG703" s="1086">
        <f t="shared" si="44"/>
        <v>0</v>
      </c>
      <c r="AQ703" s="1086">
        <v>0</v>
      </c>
      <c r="AR703" s="1086">
        <v>0</v>
      </c>
      <c r="AS703" s="1086">
        <v>2887.76</v>
      </c>
      <c r="AT703" s="1086">
        <f t="shared" si="42"/>
        <v>0</v>
      </c>
      <c r="AV703" s="1150">
        <f t="shared" si="43"/>
        <v>3700.68</v>
      </c>
    </row>
    <row r="704" spans="1:48" x14ac:dyDescent="0.2">
      <c r="A704" s="19">
        <v>718</v>
      </c>
      <c r="B704" t="s">
        <v>2004</v>
      </c>
      <c r="C704" t="s">
        <v>2076</v>
      </c>
      <c r="D704" t="s">
        <v>1036</v>
      </c>
      <c r="E704" t="s">
        <v>2189</v>
      </c>
      <c r="F704" t="s">
        <v>2384</v>
      </c>
      <c r="G704" t="s">
        <v>1250</v>
      </c>
      <c r="H704" t="s">
        <v>3825</v>
      </c>
      <c r="I704" t="s">
        <v>3846</v>
      </c>
      <c r="J704" t="s">
        <v>3263</v>
      </c>
      <c r="K704" t="s">
        <v>3761</v>
      </c>
      <c r="L704" t="s">
        <v>3208</v>
      </c>
      <c r="M704" s="1086">
        <v>44403.24</v>
      </c>
      <c r="N704" s="1086">
        <v>0</v>
      </c>
      <c r="O704" s="1086">
        <v>0</v>
      </c>
      <c r="P704" s="1086">
        <v>419.04</v>
      </c>
      <c r="Q704" s="1086">
        <v>0</v>
      </c>
      <c r="R704" s="1086">
        <v>0</v>
      </c>
      <c r="S704" s="1086">
        <v>0</v>
      </c>
      <c r="T704" s="1086">
        <v>67.67</v>
      </c>
      <c r="U704" s="1086">
        <v>37.85</v>
      </c>
      <c r="V704" s="1086">
        <v>0</v>
      </c>
      <c r="W704" s="1086">
        <v>0</v>
      </c>
      <c r="X704" s="1086">
        <v>0</v>
      </c>
      <c r="Y704" s="1086">
        <v>0</v>
      </c>
      <c r="Z704" s="1086">
        <v>0</v>
      </c>
      <c r="AA704" s="1086">
        <v>0</v>
      </c>
      <c r="AB704" s="1086">
        <v>0</v>
      </c>
      <c r="AC704" s="1086">
        <v>43878.68</v>
      </c>
      <c r="AD704" s="1086" t="s">
        <v>248</v>
      </c>
      <c r="AE704" s="1086" t="s">
        <v>3883</v>
      </c>
      <c r="AF704" s="1086">
        <f t="shared" si="41"/>
        <v>43878.68</v>
      </c>
      <c r="AG704" s="1086">
        <f t="shared" si="44"/>
        <v>0</v>
      </c>
      <c r="AQ704" s="1086">
        <v>0</v>
      </c>
      <c r="AR704" s="1086">
        <v>0</v>
      </c>
      <c r="AS704" s="1086">
        <v>43878.68</v>
      </c>
      <c r="AT704" s="1086">
        <f t="shared" si="42"/>
        <v>0</v>
      </c>
      <c r="AV704" s="1150">
        <f t="shared" si="43"/>
        <v>524.56000000000006</v>
      </c>
    </row>
    <row r="705" spans="1:48" x14ac:dyDescent="0.2">
      <c r="A705" s="19">
        <v>719</v>
      </c>
      <c r="B705" t="s">
        <v>2005</v>
      </c>
      <c r="C705" t="s">
        <v>2076</v>
      </c>
      <c r="D705" t="s">
        <v>1059</v>
      </c>
      <c r="E705" t="s">
        <v>2192</v>
      </c>
      <c r="F705" t="s">
        <v>2387</v>
      </c>
      <c r="G705" t="s">
        <v>1250</v>
      </c>
      <c r="H705" t="s">
        <v>3824</v>
      </c>
      <c r="I705" t="s">
        <v>3846</v>
      </c>
      <c r="J705" t="s">
        <v>3257</v>
      </c>
      <c r="K705" t="s">
        <v>3762</v>
      </c>
      <c r="L705" t="s">
        <v>3209</v>
      </c>
      <c r="M705" s="1086">
        <v>8745.8799999999992</v>
      </c>
      <c r="N705" s="1086">
        <v>44590</v>
      </c>
      <c r="O705" s="1086">
        <v>0</v>
      </c>
      <c r="P705" s="1086">
        <v>0</v>
      </c>
      <c r="Q705" s="1086">
        <v>35562.480000000003</v>
      </c>
      <c r="R705" s="1086">
        <v>0</v>
      </c>
      <c r="S705" s="1086">
        <v>0</v>
      </c>
      <c r="T705" s="1086">
        <v>16886.14</v>
      </c>
      <c r="U705" s="1086">
        <v>0</v>
      </c>
      <c r="V705" s="1086">
        <v>0</v>
      </c>
      <c r="W705" s="1086">
        <v>0</v>
      </c>
      <c r="X705" s="1086">
        <v>0</v>
      </c>
      <c r="Y705" s="1086">
        <v>0</v>
      </c>
      <c r="Z705" s="1086">
        <v>0</v>
      </c>
      <c r="AA705" s="1086">
        <v>0</v>
      </c>
      <c r="AB705" s="1086">
        <v>0</v>
      </c>
      <c r="AC705" s="1086">
        <v>887.26</v>
      </c>
      <c r="AD705" s="1086" t="s">
        <v>248</v>
      </c>
      <c r="AE705" s="1086" t="s">
        <v>3883</v>
      </c>
      <c r="AF705" s="1086">
        <f t="shared" si="41"/>
        <v>887.25999999999476</v>
      </c>
      <c r="AG705" s="1086">
        <f t="shared" si="44"/>
        <v>5.2295945351943374E-12</v>
      </c>
      <c r="AQ705" s="1086">
        <v>0</v>
      </c>
      <c r="AR705" s="1086">
        <v>0</v>
      </c>
      <c r="AS705" s="1086">
        <v>887.26</v>
      </c>
      <c r="AT705" s="1086">
        <f t="shared" si="42"/>
        <v>0</v>
      </c>
      <c r="AV705" s="1150">
        <f t="shared" si="43"/>
        <v>52448.62</v>
      </c>
    </row>
    <row r="706" spans="1:48" x14ac:dyDescent="0.2">
      <c r="A706" s="19">
        <v>720</v>
      </c>
      <c r="B706" t="s">
        <v>2006</v>
      </c>
      <c r="C706" t="s">
        <v>2076</v>
      </c>
      <c r="D706" t="s">
        <v>1048</v>
      </c>
      <c r="E706" t="s">
        <v>2193</v>
      </c>
      <c r="F706" t="s">
        <v>2388</v>
      </c>
      <c r="G706" t="s">
        <v>1257</v>
      </c>
      <c r="H706" t="s">
        <v>3826</v>
      </c>
      <c r="I706" t="s">
        <v>3846</v>
      </c>
      <c r="J706" t="s">
        <v>3502</v>
      </c>
      <c r="K706" t="s">
        <v>3763</v>
      </c>
      <c r="L706" t="s">
        <v>3210</v>
      </c>
      <c r="M706" s="1086">
        <v>183927.14</v>
      </c>
      <c r="N706" s="1086">
        <v>0</v>
      </c>
      <c r="O706" s="1086">
        <v>0</v>
      </c>
      <c r="P706" s="1086">
        <v>0</v>
      </c>
      <c r="Q706" s="1086">
        <v>0</v>
      </c>
      <c r="R706" s="1086">
        <v>0</v>
      </c>
      <c r="S706" s="1086">
        <v>0</v>
      </c>
      <c r="T706" s="1086">
        <v>0</v>
      </c>
      <c r="U706" s="1086">
        <v>56.78</v>
      </c>
      <c r="V706" s="1086">
        <v>0</v>
      </c>
      <c r="W706" s="1086">
        <v>0</v>
      </c>
      <c r="X706" s="1086">
        <v>0</v>
      </c>
      <c r="Y706" s="1086">
        <v>0</v>
      </c>
      <c r="Z706" s="1086">
        <v>0</v>
      </c>
      <c r="AA706" s="1086">
        <v>0</v>
      </c>
      <c r="AB706" s="1086">
        <v>0</v>
      </c>
      <c r="AC706" s="1086">
        <v>183870.36</v>
      </c>
      <c r="AD706" s="1086" t="s">
        <v>248</v>
      </c>
      <c r="AE706" s="1086" t="s">
        <v>3883</v>
      </c>
      <c r="AF706" s="1086">
        <f t="shared" si="41"/>
        <v>183870.36000000002</v>
      </c>
      <c r="AG706" s="1086">
        <f t="shared" si="44"/>
        <v>0</v>
      </c>
      <c r="AQ706" s="1086">
        <v>0</v>
      </c>
      <c r="AR706" s="1086">
        <v>0</v>
      </c>
      <c r="AS706" s="1086">
        <v>183870.36</v>
      </c>
      <c r="AT706" s="1086">
        <f t="shared" si="42"/>
        <v>0</v>
      </c>
      <c r="AV706" s="1150">
        <f t="shared" si="43"/>
        <v>56.78</v>
      </c>
    </row>
    <row r="707" spans="1:48" x14ac:dyDescent="0.2">
      <c r="A707" s="19">
        <v>721</v>
      </c>
      <c r="B707" t="s">
        <v>2007</v>
      </c>
      <c r="C707" t="s">
        <v>2076</v>
      </c>
      <c r="D707" t="s">
        <v>1026</v>
      </c>
      <c r="E707" t="s">
        <v>2239</v>
      </c>
      <c r="F707" t="s">
        <v>2433</v>
      </c>
      <c r="G707" t="s">
        <v>1250</v>
      </c>
      <c r="H707" t="s">
        <v>3825</v>
      </c>
      <c r="I707" t="s">
        <v>3846</v>
      </c>
      <c r="J707" t="s">
        <v>3357</v>
      </c>
      <c r="K707" t="s">
        <v>3764</v>
      </c>
      <c r="L707" t="s">
        <v>3211</v>
      </c>
      <c r="M707" s="1086">
        <v>9196.76</v>
      </c>
      <c r="N707" s="1086">
        <v>0</v>
      </c>
      <c r="O707" s="1086">
        <v>0</v>
      </c>
      <c r="P707" s="1086">
        <v>0</v>
      </c>
      <c r="Q707" s="1086">
        <v>0</v>
      </c>
      <c r="R707" s="1086">
        <v>0</v>
      </c>
      <c r="S707" s="1086">
        <v>0</v>
      </c>
      <c r="T707" s="1086">
        <v>0</v>
      </c>
      <c r="U707" s="1086">
        <v>0</v>
      </c>
      <c r="V707" s="1086">
        <v>0</v>
      </c>
      <c r="W707" s="1086">
        <v>0</v>
      </c>
      <c r="X707" s="1086">
        <v>0</v>
      </c>
      <c r="Y707" s="1086">
        <v>0</v>
      </c>
      <c r="Z707" s="1086">
        <v>0</v>
      </c>
      <c r="AA707" s="1086">
        <v>0</v>
      </c>
      <c r="AB707" s="1086">
        <v>0</v>
      </c>
      <c r="AC707" s="1086">
        <v>9196.76</v>
      </c>
      <c r="AD707" s="1086" t="s">
        <v>248</v>
      </c>
      <c r="AE707" s="1086" t="s">
        <v>3883</v>
      </c>
      <c r="AF707" s="1086">
        <f t="shared" si="41"/>
        <v>9196.76</v>
      </c>
      <c r="AG707" s="1086">
        <f t="shared" si="44"/>
        <v>0</v>
      </c>
      <c r="AQ707" s="1086">
        <v>0</v>
      </c>
      <c r="AR707" s="1086">
        <v>0</v>
      </c>
      <c r="AS707" s="1086">
        <v>9196.76</v>
      </c>
      <c r="AT707" s="1086">
        <f t="shared" si="42"/>
        <v>0</v>
      </c>
      <c r="AV707" s="1150">
        <f t="shared" si="43"/>
        <v>0</v>
      </c>
    </row>
    <row r="708" spans="1:48" x14ac:dyDescent="0.2">
      <c r="A708" s="19">
        <v>722</v>
      </c>
      <c r="B708" t="s">
        <v>2008</v>
      </c>
      <c r="C708" t="s">
        <v>2076</v>
      </c>
      <c r="D708" t="s">
        <v>1026</v>
      </c>
      <c r="E708" t="s">
        <v>2239</v>
      </c>
      <c r="F708" t="s">
        <v>2433</v>
      </c>
      <c r="G708" t="s">
        <v>1250</v>
      </c>
      <c r="H708" t="s">
        <v>3823</v>
      </c>
      <c r="I708" t="s">
        <v>3846</v>
      </c>
      <c r="J708" t="s">
        <v>3357</v>
      </c>
      <c r="K708" t="s">
        <v>3765</v>
      </c>
      <c r="L708" t="s">
        <v>3212</v>
      </c>
      <c r="M708" s="1086">
        <v>1425.07</v>
      </c>
      <c r="N708" s="1086">
        <v>0</v>
      </c>
      <c r="O708" s="1086">
        <v>0</v>
      </c>
      <c r="P708" s="1086">
        <v>0</v>
      </c>
      <c r="Q708" s="1086">
        <v>0</v>
      </c>
      <c r="R708" s="1086">
        <v>0</v>
      </c>
      <c r="S708" s="1086">
        <v>0</v>
      </c>
      <c r="T708" s="1086">
        <v>0</v>
      </c>
      <c r="U708" s="1086">
        <v>0</v>
      </c>
      <c r="V708" s="1086">
        <v>0</v>
      </c>
      <c r="W708" s="1086">
        <v>0</v>
      </c>
      <c r="X708" s="1086">
        <v>0</v>
      </c>
      <c r="Y708" s="1086">
        <v>0</v>
      </c>
      <c r="Z708" s="1086">
        <v>0</v>
      </c>
      <c r="AA708" s="1086">
        <v>0</v>
      </c>
      <c r="AB708" s="1086">
        <v>0</v>
      </c>
      <c r="AC708" s="1086">
        <v>1425.07</v>
      </c>
      <c r="AD708" s="1086" t="s">
        <v>248</v>
      </c>
      <c r="AE708" s="1086" t="s">
        <v>3883</v>
      </c>
      <c r="AF708" s="1086">
        <f t="shared" si="41"/>
        <v>1425.07</v>
      </c>
      <c r="AG708" s="1086">
        <f t="shared" si="44"/>
        <v>0</v>
      </c>
      <c r="AQ708" s="1086">
        <v>0</v>
      </c>
      <c r="AR708" s="1086">
        <v>0</v>
      </c>
      <c r="AS708" s="1086">
        <v>1425.07</v>
      </c>
      <c r="AT708" s="1086">
        <f t="shared" si="42"/>
        <v>0</v>
      </c>
      <c r="AV708" s="1150">
        <f t="shared" si="43"/>
        <v>0</v>
      </c>
    </row>
    <row r="709" spans="1:48" x14ac:dyDescent="0.2">
      <c r="A709" s="19">
        <v>723</v>
      </c>
      <c r="B709" t="s">
        <v>2009</v>
      </c>
      <c r="C709" t="s">
        <v>2076</v>
      </c>
      <c r="D709" t="s">
        <v>1060</v>
      </c>
      <c r="E709" t="s">
        <v>2272</v>
      </c>
      <c r="F709" t="s">
        <v>2465</v>
      </c>
      <c r="G709" t="s">
        <v>1257</v>
      </c>
      <c r="H709" t="s">
        <v>3826</v>
      </c>
      <c r="I709">
        <v>2305</v>
      </c>
      <c r="J709" t="s">
        <v>3766</v>
      </c>
      <c r="K709">
        <v>2802</v>
      </c>
      <c r="L709" t="s">
        <v>3213</v>
      </c>
      <c r="M709" s="1086">
        <v>61.55</v>
      </c>
      <c r="N709" s="1086">
        <v>10000</v>
      </c>
      <c r="O709" s="1086">
        <v>0</v>
      </c>
      <c r="P709" s="1086">
        <v>10000</v>
      </c>
      <c r="Q709" s="1086">
        <v>0</v>
      </c>
      <c r="R709" s="1086">
        <v>0</v>
      </c>
      <c r="S709" s="1086">
        <v>0</v>
      </c>
      <c r="T709" s="1086">
        <v>0</v>
      </c>
      <c r="U709" s="1086">
        <v>0</v>
      </c>
      <c r="V709" s="1086">
        <v>0</v>
      </c>
      <c r="W709" s="1086">
        <v>0</v>
      </c>
      <c r="X709" s="1086">
        <v>0</v>
      </c>
      <c r="Y709" s="1086">
        <v>0</v>
      </c>
      <c r="Z709" s="1086">
        <v>0</v>
      </c>
      <c r="AA709" s="1086">
        <v>0</v>
      </c>
      <c r="AB709" s="1086">
        <v>0</v>
      </c>
      <c r="AC709" s="1086">
        <v>61.55</v>
      </c>
      <c r="AD709" s="1086" t="s">
        <v>248</v>
      </c>
      <c r="AE709" s="1086" t="s">
        <v>3883</v>
      </c>
      <c r="AF709" s="1086">
        <f t="shared" si="41"/>
        <v>61.549999999999272</v>
      </c>
      <c r="AG709" s="1086">
        <f t="shared" si="44"/>
        <v>7.2475359047530219E-13</v>
      </c>
      <c r="AQ709" s="1086">
        <v>0</v>
      </c>
      <c r="AR709" s="1086">
        <v>0</v>
      </c>
      <c r="AS709" s="1086">
        <v>61.55</v>
      </c>
      <c r="AT709" s="1086">
        <f t="shared" si="42"/>
        <v>0</v>
      </c>
      <c r="AV709" s="1150">
        <f t="shared" si="43"/>
        <v>10000</v>
      </c>
    </row>
    <row r="710" spans="1:48" x14ac:dyDescent="0.2">
      <c r="A710" s="19">
        <v>724</v>
      </c>
      <c r="B710" t="s">
        <v>2010</v>
      </c>
      <c r="C710" t="s">
        <v>2076</v>
      </c>
      <c r="D710" t="s">
        <v>1031</v>
      </c>
      <c r="E710" t="s">
        <v>2197</v>
      </c>
      <c r="F710" t="s">
        <v>2392</v>
      </c>
      <c r="G710" t="s">
        <v>3831</v>
      </c>
      <c r="H710" t="s">
        <v>3822</v>
      </c>
      <c r="I710">
        <v>0</v>
      </c>
      <c r="L710" t="s">
        <v>3214</v>
      </c>
      <c r="M710" s="1086">
        <v>8000</v>
      </c>
      <c r="N710" s="1086">
        <v>0</v>
      </c>
      <c r="O710" s="1086">
        <v>0</v>
      </c>
      <c r="P710" s="1086">
        <v>0</v>
      </c>
      <c r="Q710" s="1086">
        <v>0</v>
      </c>
      <c r="R710" s="1086">
        <v>0</v>
      </c>
      <c r="S710" s="1086">
        <v>0</v>
      </c>
      <c r="T710" s="1086">
        <v>0</v>
      </c>
      <c r="U710" s="1086">
        <v>0</v>
      </c>
      <c r="V710" s="1086">
        <v>0</v>
      </c>
      <c r="W710" s="1086">
        <v>0</v>
      </c>
      <c r="X710" s="1086">
        <v>0</v>
      </c>
      <c r="Y710" s="1086">
        <v>0</v>
      </c>
      <c r="Z710" s="1086">
        <v>0</v>
      </c>
      <c r="AA710" s="1086">
        <v>0</v>
      </c>
      <c r="AB710" s="1086">
        <v>0</v>
      </c>
      <c r="AC710" s="1086">
        <v>8000</v>
      </c>
      <c r="AD710" s="1103" t="s">
        <v>1252</v>
      </c>
      <c r="AE710" s="1086" t="s">
        <v>3886</v>
      </c>
      <c r="AF710" s="1086">
        <f t="shared" si="41"/>
        <v>8000</v>
      </c>
      <c r="AG710" s="1086">
        <f t="shared" si="44"/>
        <v>0</v>
      </c>
      <c r="AQ710" s="1086">
        <v>0</v>
      </c>
      <c r="AR710" s="1086">
        <v>0</v>
      </c>
      <c r="AS710" s="1086">
        <v>8000</v>
      </c>
      <c r="AT710" s="1086">
        <f t="shared" si="42"/>
        <v>0</v>
      </c>
      <c r="AV710" s="1150">
        <f t="shared" si="43"/>
        <v>0</v>
      </c>
    </row>
    <row r="711" spans="1:48" x14ac:dyDescent="0.2">
      <c r="A711" s="19">
        <v>725</v>
      </c>
      <c r="B711" t="s">
        <v>2011</v>
      </c>
      <c r="C711" t="s">
        <v>2076</v>
      </c>
      <c r="D711" t="s">
        <v>1026</v>
      </c>
      <c r="E711" t="s">
        <v>2273</v>
      </c>
      <c r="F711" t="s">
        <v>2466</v>
      </c>
      <c r="G711" t="s">
        <v>1250</v>
      </c>
      <c r="H711" t="s">
        <v>3823</v>
      </c>
      <c r="I711" t="s">
        <v>3846</v>
      </c>
      <c r="J711" t="s">
        <v>3357</v>
      </c>
      <c r="K711" t="s">
        <v>3767</v>
      </c>
      <c r="L711" t="s">
        <v>3215</v>
      </c>
      <c r="M711" s="1086">
        <v>57064.17</v>
      </c>
      <c r="N711" s="1086">
        <v>0</v>
      </c>
      <c r="O711" s="1086">
        <v>0</v>
      </c>
      <c r="P711" s="1086">
        <v>16235.02</v>
      </c>
      <c r="Q711" s="1086">
        <v>14062.5</v>
      </c>
      <c r="R711" s="1086">
        <v>0</v>
      </c>
      <c r="S711" s="1086">
        <v>0</v>
      </c>
      <c r="T711" s="1086">
        <v>11000.73</v>
      </c>
      <c r="U711" s="1086">
        <v>0</v>
      </c>
      <c r="V711" s="1086">
        <v>0</v>
      </c>
      <c r="W711" s="1086">
        <v>0</v>
      </c>
      <c r="X711" s="1086">
        <v>0</v>
      </c>
      <c r="Y711" s="1086">
        <v>0</v>
      </c>
      <c r="Z711" s="1086">
        <v>0</v>
      </c>
      <c r="AA711" s="1086">
        <v>0</v>
      </c>
      <c r="AB711" s="1086">
        <v>0</v>
      </c>
      <c r="AC711" s="1086">
        <v>15765.92</v>
      </c>
      <c r="AD711" s="1086" t="s">
        <v>248</v>
      </c>
      <c r="AE711" s="1086" t="s">
        <v>3883</v>
      </c>
      <c r="AF711" s="1086">
        <f t="shared" si="41"/>
        <v>15765.919999999998</v>
      </c>
      <c r="AG711" s="1086">
        <f t="shared" si="44"/>
        <v>0</v>
      </c>
      <c r="AQ711" s="1086">
        <v>0</v>
      </c>
      <c r="AR711" s="1086">
        <v>0</v>
      </c>
      <c r="AS711" s="1086">
        <v>15765.92</v>
      </c>
      <c r="AT711" s="1086">
        <f t="shared" si="42"/>
        <v>0</v>
      </c>
      <c r="AV711" s="1150">
        <f t="shared" si="43"/>
        <v>41298.25</v>
      </c>
    </row>
    <row r="712" spans="1:48" x14ac:dyDescent="0.2">
      <c r="A712" s="19">
        <v>726</v>
      </c>
      <c r="B712" t="s">
        <v>2012</v>
      </c>
      <c r="C712" t="s">
        <v>2076</v>
      </c>
      <c r="D712" t="s">
        <v>1026</v>
      </c>
      <c r="E712" t="s">
        <v>2273</v>
      </c>
      <c r="F712" t="s">
        <v>2466</v>
      </c>
      <c r="G712" t="s">
        <v>1250</v>
      </c>
      <c r="H712" t="s">
        <v>3823</v>
      </c>
      <c r="I712" t="s">
        <v>3846</v>
      </c>
      <c r="J712" t="s">
        <v>3357</v>
      </c>
      <c r="K712" t="s">
        <v>3768</v>
      </c>
      <c r="L712" t="s">
        <v>3216</v>
      </c>
      <c r="M712" s="1086">
        <v>131699.67000000001</v>
      </c>
      <c r="N712" s="1086">
        <v>58725</v>
      </c>
      <c r="O712" s="1086">
        <v>0</v>
      </c>
      <c r="P712" s="1086">
        <v>48120.77</v>
      </c>
      <c r="Q712" s="1086">
        <v>999.4</v>
      </c>
      <c r="R712" s="1086">
        <v>0</v>
      </c>
      <c r="S712" s="1086">
        <v>0</v>
      </c>
      <c r="T712" s="1086">
        <v>7751.65</v>
      </c>
      <c r="U712" s="1086">
        <v>717.3</v>
      </c>
      <c r="V712" s="1086">
        <v>0</v>
      </c>
      <c r="W712" s="1086">
        <v>870.83</v>
      </c>
      <c r="X712" s="1086">
        <v>16419.84</v>
      </c>
      <c r="Y712" s="1086">
        <v>0</v>
      </c>
      <c r="Z712" s="1086">
        <v>0</v>
      </c>
      <c r="AA712" s="1086">
        <v>0</v>
      </c>
      <c r="AB712" s="1086">
        <v>0</v>
      </c>
      <c r="AC712" s="1086">
        <v>115544.88</v>
      </c>
      <c r="AD712" s="1086" t="s">
        <v>248</v>
      </c>
      <c r="AE712" s="1086" t="s">
        <v>3883</v>
      </c>
      <c r="AF712" s="1086">
        <f t="shared" ref="AF712:AF765" si="45">M712+N712+O712-(SUM(P712:AB712))-AQ712-AR712</f>
        <v>115544.88</v>
      </c>
      <c r="AG712" s="1086">
        <f t="shared" si="44"/>
        <v>0</v>
      </c>
      <c r="AQ712" s="1086">
        <v>0</v>
      </c>
      <c r="AR712" s="1086">
        <v>0</v>
      </c>
      <c r="AS712" s="1086">
        <v>115544.88</v>
      </c>
      <c r="AT712" s="1086">
        <f t="shared" ref="AT712:AT766" si="46">AC712-AS712</f>
        <v>0</v>
      </c>
      <c r="AV712" s="1150">
        <f t="shared" si="43"/>
        <v>74879.790000000008</v>
      </c>
    </row>
    <row r="713" spans="1:48" x14ac:dyDescent="0.2">
      <c r="A713" s="19">
        <v>727</v>
      </c>
      <c r="B713" t="s">
        <v>2013</v>
      </c>
      <c r="C713" t="s">
        <v>2076</v>
      </c>
      <c r="D713" t="s">
        <v>1059</v>
      </c>
      <c r="E713" t="s">
        <v>2200</v>
      </c>
      <c r="F713" t="s">
        <v>2395</v>
      </c>
      <c r="G713" t="s">
        <v>1250</v>
      </c>
      <c r="H713" t="s">
        <v>3825</v>
      </c>
      <c r="I713" t="s">
        <v>3846</v>
      </c>
      <c r="J713" t="s">
        <v>3257</v>
      </c>
      <c r="K713" t="s">
        <v>3769</v>
      </c>
      <c r="L713" t="s">
        <v>3217</v>
      </c>
      <c r="M713" s="1086">
        <v>4500</v>
      </c>
      <c r="N713" s="1086">
        <v>0</v>
      </c>
      <c r="O713" s="1086">
        <v>0</v>
      </c>
      <c r="P713" s="1086">
        <v>0</v>
      </c>
      <c r="Q713" s="1086">
        <v>0</v>
      </c>
      <c r="R713" s="1086">
        <v>0</v>
      </c>
      <c r="S713" s="1086">
        <v>0</v>
      </c>
      <c r="T713" s="1086">
        <v>0</v>
      </c>
      <c r="U713" s="1086">
        <v>0</v>
      </c>
      <c r="V713" s="1086">
        <v>0</v>
      </c>
      <c r="W713" s="1086">
        <v>0</v>
      </c>
      <c r="X713" s="1086">
        <v>0</v>
      </c>
      <c r="Y713" s="1086">
        <v>0</v>
      </c>
      <c r="Z713" s="1086">
        <v>0</v>
      </c>
      <c r="AA713" s="1086">
        <v>3500</v>
      </c>
      <c r="AB713" s="1086">
        <v>0</v>
      </c>
      <c r="AC713" s="1086">
        <v>1000</v>
      </c>
      <c r="AD713" s="1086" t="s">
        <v>248</v>
      </c>
      <c r="AE713" s="1086" t="s">
        <v>3883</v>
      </c>
      <c r="AF713" s="1086">
        <f t="shared" si="45"/>
        <v>1000</v>
      </c>
      <c r="AG713" s="1086">
        <f t="shared" si="44"/>
        <v>0</v>
      </c>
      <c r="AQ713" s="1086">
        <v>0</v>
      </c>
      <c r="AR713" s="1086">
        <v>0</v>
      </c>
      <c r="AS713" s="1086">
        <v>1000</v>
      </c>
      <c r="AT713" s="1086">
        <f t="shared" si="46"/>
        <v>0</v>
      </c>
      <c r="AV713" s="1150">
        <f t="shared" ref="AV713:AV765" si="47">SUM(P713:AB713)+AQ713+AR713</f>
        <v>3500</v>
      </c>
    </row>
    <row r="714" spans="1:48" x14ac:dyDescent="0.2">
      <c r="A714" s="19">
        <v>728</v>
      </c>
      <c r="B714" t="s">
        <v>2014</v>
      </c>
      <c r="C714" t="s">
        <v>2076</v>
      </c>
      <c r="D714" t="s">
        <v>1034</v>
      </c>
      <c r="E714" t="s">
        <v>2206</v>
      </c>
      <c r="F714" t="s">
        <v>2401</v>
      </c>
      <c r="G714" t="s">
        <v>3833</v>
      </c>
      <c r="H714" t="s">
        <v>3825</v>
      </c>
      <c r="I714">
        <v>0</v>
      </c>
      <c r="L714" t="s">
        <v>3218</v>
      </c>
      <c r="M714" s="1086">
        <v>8110.61</v>
      </c>
      <c r="N714" s="1086">
        <v>25000</v>
      </c>
      <c r="O714" s="1086">
        <v>0</v>
      </c>
      <c r="P714" s="1086">
        <v>19338.990000000002</v>
      </c>
      <c r="Q714" s="1086">
        <v>0</v>
      </c>
      <c r="R714" s="1086">
        <v>0</v>
      </c>
      <c r="S714" s="1086">
        <v>0</v>
      </c>
      <c r="T714" s="1086">
        <v>4445.5600000000004</v>
      </c>
      <c r="U714" s="1086">
        <v>0</v>
      </c>
      <c r="V714" s="1086">
        <v>0</v>
      </c>
      <c r="W714" s="1086">
        <v>0</v>
      </c>
      <c r="X714" s="1086">
        <v>0</v>
      </c>
      <c r="Y714" s="1086">
        <v>0</v>
      </c>
      <c r="Z714" s="1086">
        <v>0</v>
      </c>
      <c r="AA714" s="1086">
        <v>0</v>
      </c>
      <c r="AB714" s="1086">
        <v>0</v>
      </c>
      <c r="AC714" s="1086">
        <v>9326.06</v>
      </c>
      <c r="AD714" s="1103" t="s">
        <v>1251</v>
      </c>
      <c r="AE714" s="1086" t="s">
        <v>3885</v>
      </c>
      <c r="AF714" s="1086">
        <f t="shared" si="45"/>
        <v>9326.0599999999977</v>
      </c>
      <c r="AG714" s="1086">
        <f t="shared" si="44"/>
        <v>0</v>
      </c>
      <c r="AQ714" s="1086">
        <v>0</v>
      </c>
      <c r="AR714" s="1086">
        <v>0</v>
      </c>
      <c r="AS714" s="1086">
        <v>9326.06</v>
      </c>
      <c r="AT714" s="1086">
        <f t="shared" si="46"/>
        <v>0</v>
      </c>
      <c r="AV714" s="1150">
        <f t="shared" si="47"/>
        <v>23784.550000000003</v>
      </c>
    </row>
    <row r="715" spans="1:48" x14ac:dyDescent="0.2">
      <c r="A715" s="19">
        <v>729</v>
      </c>
      <c r="B715" t="s">
        <v>2015</v>
      </c>
      <c r="C715" t="s">
        <v>2076</v>
      </c>
      <c r="D715" t="s">
        <v>1030</v>
      </c>
      <c r="E715" t="s">
        <v>2274</v>
      </c>
      <c r="F715" t="s">
        <v>2467</v>
      </c>
      <c r="G715" t="s">
        <v>1257</v>
      </c>
      <c r="H715" t="s">
        <v>3826</v>
      </c>
      <c r="I715">
        <v>2305</v>
      </c>
      <c r="J715" t="s">
        <v>3641</v>
      </c>
      <c r="K715">
        <v>2922</v>
      </c>
      <c r="L715" t="s">
        <v>3219</v>
      </c>
      <c r="M715" s="1086">
        <v>24850</v>
      </c>
      <c r="N715" s="1086">
        <v>0</v>
      </c>
      <c r="O715" s="1086">
        <v>0</v>
      </c>
      <c r="P715" s="1086">
        <v>0</v>
      </c>
      <c r="Q715" s="1086">
        <v>0</v>
      </c>
      <c r="R715" s="1086">
        <v>0</v>
      </c>
      <c r="S715" s="1086">
        <v>0</v>
      </c>
      <c r="T715" s="1086">
        <v>0</v>
      </c>
      <c r="U715" s="1086">
        <v>8033</v>
      </c>
      <c r="V715" s="1086">
        <v>0</v>
      </c>
      <c r="W715" s="1086">
        <v>0</v>
      </c>
      <c r="X715" s="1086">
        <v>0</v>
      </c>
      <c r="Y715" s="1086">
        <v>0</v>
      </c>
      <c r="Z715" s="1086">
        <v>0</v>
      </c>
      <c r="AA715" s="1086">
        <v>0</v>
      </c>
      <c r="AB715" s="1086">
        <v>0</v>
      </c>
      <c r="AC715" s="1086">
        <v>16817</v>
      </c>
      <c r="AD715" s="1086" t="s">
        <v>248</v>
      </c>
      <c r="AE715" s="1086" t="s">
        <v>3883</v>
      </c>
      <c r="AF715" s="1086">
        <f t="shared" si="45"/>
        <v>16817</v>
      </c>
      <c r="AG715" s="1086">
        <f t="shared" si="44"/>
        <v>0</v>
      </c>
      <c r="AQ715" s="1086">
        <v>0</v>
      </c>
      <c r="AR715" s="1086">
        <v>0</v>
      </c>
      <c r="AS715" s="1086">
        <v>16817</v>
      </c>
      <c r="AT715" s="1086">
        <f t="shared" si="46"/>
        <v>0</v>
      </c>
      <c r="AV715" s="1150">
        <f t="shared" si="47"/>
        <v>8033</v>
      </c>
    </row>
    <row r="716" spans="1:48" x14ac:dyDescent="0.2">
      <c r="A716" s="19">
        <v>730</v>
      </c>
      <c r="B716" t="s">
        <v>2016</v>
      </c>
      <c r="C716" t="s">
        <v>2076</v>
      </c>
      <c r="D716" t="s">
        <v>1039</v>
      </c>
      <c r="E716" t="s">
        <v>2208</v>
      </c>
      <c r="F716" t="s">
        <v>2403</v>
      </c>
      <c r="G716" t="s">
        <v>1250</v>
      </c>
      <c r="H716" t="s">
        <v>3825</v>
      </c>
      <c r="I716" t="s">
        <v>3846</v>
      </c>
      <c r="J716" t="s">
        <v>3266</v>
      </c>
      <c r="K716" t="s">
        <v>3770</v>
      </c>
      <c r="L716" t="s">
        <v>3220</v>
      </c>
      <c r="M716" s="1086">
        <v>20033.63</v>
      </c>
      <c r="N716" s="1086">
        <v>41524.19</v>
      </c>
      <c r="O716" s="1086">
        <v>0</v>
      </c>
      <c r="P716" s="1086">
        <v>11232.07</v>
      </c>
      <c r="Q716" s="1086">
        <v>0</v>
      </c>
      <c r="R716" s="1086">
        <v>0</v>
      </c>
      <c r="S716" s="1086">
        <v>2475</v>
      </c>
      <c r="T716" s="1086">
        <v>400.47</v>
      </c>
      <c r="U716" s="1086">
        <v>15712.28</v>
      </c>
      <c r="V716" s="1086">
        <v>0</v>
      </c>
      <c r="W716" s="1086">
        <v>0</v>
      </c>
      <c r="X716" s="1086">
        <v>0</v>
      </c>
      <c r="Y716" s="1086">
        <v>0</v>
      </c>
      <c r="Z716" s="1086">
        <v>0</v>
      </c>
      <c r="AA716" s="1086">
        <v>0</v>
      </c>
      <c r="AB716" s="1086">
        <v>0</v>
      </c>
      <c r="AC716" s="1086">
        <v>31738</v>
      </c>
      <c r="AD716" s="1086" t="s">
        <v>248</v>
      </c>
      <c r="AE716" s="1086" t="s">
        <v>3883</v>
      </c>
      <c r="AF716" s="1086">
        <f t="shared" si="45"/>
        <v>31738.000000000007</v>
      </c>
      <c r="AG716" s="1086">
        <f t="shared" si="44"/>
        <v>0</v>
      </c>
      <c r="AQ716" s="1086">
        <v>0</v>
      </c>
      <c r="AR716" s="1086">
        <v>0</v>
      </c>
      <c r="AS716" s="1086">
        <v>31738</v>
      </c>
      <c r="AT716" s="1086">
        <f t="shared" si="46"/>
        <v>0</v>
      </c>
      <c r="AV716" s="1150">
        <f t="shared" si="47"/>
        <v>29819.82</v>
      </c>
    </row>
    <row r="717" spans="1:48" x14ac:dyDescent="0.2">
      <c r="A717" s="19">
        <v>731</v>
      </c>
      <c r="B717" t="s">
        <v>2017</v>
      </c>
      <c r="C717" t="s">
        <v>2076</v>
      </c>
      <c r="D717" t="s">
        <v>1050</v>
      </c>
      <c r="E717" t="s">
        <v>2211</v>
      </c>
      <c r="F717" t="s">
        <v>2406</v>
      </c>
      <c r="G717" t="s">
        <v>1250</v>
      </c>
      <c r="H717" t="s">
        <v>3825</v>
      </c>
      <c r="I717" t="s">
        <v>3846</v>
      </c>
      <c r="J717" t="s">
        <v>3272</v>
      </c>
      <c r="K717" t="s">
        <v>3771</v>
      </c>
      <c r="L717" t="s">
        <v>3221</v>
      </c>
      <c r="M717" s="1086">
        <v>114003.08</v>
      </c>
      <c r="N717" s="1086">
        <v>150000</v>
      </c>
      <c r="O717" s="1086">
        <v>0</v>
      </c>
      <c r="P717" s="1086">
        <v>51494.67</v>
      </c>
      <c r="Q717" s="1086">
        <v>0</v>
      </c>
      <c r="R717" s="1086">
        <v>0</v>
      </c>
      <c r="S717" s="1086">
        <v>0</v>
      </c>
      <c r="T717" s="1086">
        <v>15020.85</v>
      </c>
      <c r="U717" s="1086">
        <v>9324.84</v>
      </c>
      <c r="V717" s="1086">
        <v>0</v>
      </c>
      <c r="W717" s="1086">
        <v>17746.990000000002</v>
      </c>
      <c r="X717" s="1086">
        <v>736.54</v>
      </c>
      <c r="Y717" s="1086">
        <v>0</v>
      </c>
      <c r="Z717" s="1086">
        <v>0</v>
      </c>
      <c r="AA717" s="1086">
        <v>0</v>
      </c>
      <c r="AB717" s="1086">
        <v>0</v>
      </c>
      <c r="AC717" s="1086">
        <v>169679.19</v>
      </c>
      <c r="AD717" s="1086" t="s">
        <v>248</v>
      </c>
      <c r="AE717" s="1086" t="s">
        <v>3883</v>
      </c>
      <c r="AF717" s="1086">
        <f t="shared" si="45"/>
        <v>169679.19</v>
      </c>
      <c r="AG717" s="1086">
        <f t="shared" si="44"/>
        <v>0</v>
      </c>
      <c r="AQ717" s="1086">
        <v>0</v>
      </c>
      <c r="AR717" s="1086">
        <v>0</v>
      </c>
      <c r="AS717" s="1086">
        <v>169679.19</v>
      </c>
      <c r="AT717" s="1086">
        <f t="shared" si="46"/>
        <v>0</v>
      </c>
      <c r="AV717" s="1150">
        <f t="shared" si="47"/>
        <v>94323.89</v>
      </c>
    </row>
    <row r="718" spans="1:48" x14ac:dyDescent="0.2">
      <c r="A718" s="19">
        <v>732</v>
      </c>
      <c r="B718" t="s">
        <v>2018</v>
      </c>
      <c r="C718" t="s">
        <v>2076</v>
      </c>
      <c r="D718" t="s">
        <v>1062</v>
      </c>
      <c r="E718" t="s">
        <v>2260</v>
      </c>
      <c r="F718" t="s">
        <v>2453</v>
      </c>
      <c r="G718" t="s">
        <v>1250</v>
      </c>
      <c r="H718" t="s">
        <v>3824</v>
      </c>
      <c r="I718" t="s">
        <v>3251</v>
      </c>
      <c r="J718" t="s">
        <v>3251</v>
      </c>
      <c r="K718" t="s">
        <v>3251</v>
      </c>
      <c r="L718" t="s">
        <v>3222</v>
      </c>
      <c r="M718" s="1086">
        <v>0</v>
      </c>
      <c r="N718" s="1086">
        <v>806517.12</v>
      </c>
      <c r="O718" s="1086">
        <v>0</v>
      </c>
      <c r="P718" s="1086">
        <v>0</v>
      </c>
      <c r="Q718" s="1086">
        <v>0</v>
      </c>
      <c r="R718" s="1086">
        <v>0</v>
      </c>
      <c r="S718" s="1086">
        <v>0</v>
      </c>
      <c r="T718" s="1086">
        <v>0</v>
      </c>
      <c r="U718" s="1086">
        <v>264185.37</v>
      </c>
      <c r="V718" s="1086">
        <v>0</v>
      </c>
      <c r="W718" s="1086">
        <v>8812.91</v>
      </c>
      <c r="X718" s="1086">
        <v>0</v>
      </c>
      <c r="Y718" s="1086">
        <v>0</v>
      </c>
      <c r="Z718" s="1086">
        <v>0</v>
      </c>
      <c r="AA718" s="1086">
        <v>0</v>
      </c>
      <c r="AB718" s="1086">
        <v>0</v>
      </c>
      <c r="AC718" s="1086">
        <v>533518.84</v>
      </c>
      <c r="AD718" s="1086" t="s">
        <v>248</v>
      </c>
      <c r="AE718" s="1086" t="s">
        <v>3883</v>
      </c>
      <c r="AF718" s="1086">
        <f t="shared" si="45"/>
        <v>533518.84000000008</v>
      </c>
      <c r="AG718" s="1086">
        <f t="shared" si="44"/>
        <v>0</v>
      </c>
      <c r="AQ718" s="1086">
        <v>0</v>
      </c>
      <c r="AR718" s="1086">
        <v>0</v>
      </c>
      <c r="AS718" s="1086">
        <v>533518.84</v>
      </c>
      <c r="AT718" s="1086">
        <f t="shared" si="46"/>
        <v>0</v>
      </c>
      <c r="AV718" s="1150">
        <f t="shared" si="47"/>
        <v>272998.27999999997</v>
      </c>
    </row>
    <row r="719" spans="1:48" x14ac:dyDescent="0.2">
      <c r="A719" s="19">
        <v>733</v>
      </c>
      <c r="B719" t="s">
        <v>2019</v>
      </c>
      <c r="C719" t="s">
        <v>2076</v>
      </c>
      <c r="D719" t="s">
        <v>1026</v>
      </c>
      <c r="E719" t="s">
        <v>2240</v>
      </c>
      <c r="F719" t="s">
        <v>2434</v>
      </c>
      <c r="G719" t="s">
        <v>1250</v>
      </c>
      <c r="H719" t="s">
        <v>3823</v>
      </c>
      <c r="I719">
        <v>2305</v>
      </c>
      <c r="J719" t="s">
        <v>3357</v>
      </c>
      <c r="K719" t="s">
        <v>3772</v>
      </c>
      <c r="L719" t="s">
        <v>3223</v>
      </c>
      <c r="M719" s="1086">
        <v>2748.35</v>
      </c>
      <c r="N719" s="1086">
        <v>0</v>
      </c>
      <c r="O719" s="1086">
        <v>0</v>
      </c>
      <c r="P719" s="1086">
        <v>0</v>
      </c>
      <c r="Q719" s="1086">
        <v>0</v>
      </c>
      <c r="R719" s="1086">
        <v>0</v>
      </c>
      <c r="S719" s="1086">
        <v>0</v>
      </c>
      <c r="T719" s="1086">
        <v>0</v>
      </c>
      <c r="U719" s="1086">
        <v>0</v>
      </c>
      <c r="V719" s="1086">
        <v>0</v>
      </c>
      <c r="W719" s="1086">
        <v>0</v>
      </c>
      <c r="X719" s="1086">
        <v>0</v>
      </c>
      <c r="Y719" s="1086">
        <v>0</v>
      </c>
      <c r="Z719" s="1086">
        <v>1935</v>
      </c>
      <c r="AA719" s="1086">
        <v>0</v>
      </c>
      <c r="AB719" s="1086">
        <v>0</v>
      </c>
      <c r="AC719" s="1086">
        <v>813.35</v>
      </c>
      <c r="AD719" s="1086" t="s">
        <v>248</v>
      </c>
      <c r="AE719" s="1086" t="s">
        <v>3883</v>
      </c>
      <c r="AF719" s="1086">
        <f t="shared" si="45"/>
        <v>813.34999999999991</v>
      </c>
      <c r="AG719" s="1086">
        <f t="shared" si="44"/>
        <v>0</v>
      </c>
      <c r="AQ719" s="1086">
        <v>0</v>
      </c>
      <c r="AR719" s="1086">
        <v>0</v>
      </c>
      <c r="AS719" s="1086">
        <v>813.35</v>
      </c>
      <c r="AT719" s="1086">
        <f t="shared" si="46"/>
        <v>0</v>
      </c>
      <c r="AV719" s="1150">
        <f t="shared" si="47"/>
        <v>1935</v>
      </c>
    </row>
    <row r="720" spans="1:48" x14ac:dyDescent="0.2">
      <c r="A720" s="19">
        <v>735</v>
      </c>
      <c r="B720" t="s">
        <v>2020</v>
      </c>
      <c r="C720" t="s">
        <v>2076</v>
      </c>
      <c r="D720" t="s">
        <v>1026</v>
      </c>
      <c r="E720" t="s">
        <v>2217</v>
      </c>
      <c r="F720" t="s">
        <v>2412</v>
      </c>
      <c r="G720" t="s">
        <v>1250</v>
      </c>
      <c r="H720" t="s">
        <v>3822</v>
      </c>
      <c r="I720" t="s">
        <v>3846</v>
      </c>
      <c r="J720" t="s">
        <v>3357</v>
      </c>
      <c r="K720" t="s">
        <v>3773</v>
      </c>
      <c r="L720" t="s">
        <v>3224</v>
      </c>
      <c r="M720" s="1086">
        <v>39238.47</v>
      </c>
      <c r="N720" s="1086">
        <v>0</v>
      </c>
      <c r="O720" s="1086">
        <v>0</v>
      </c>
      <c r="P720" s="1086">
        <v>0</v>
      </c>
      <c r="Q720" s="1086">
        <v>0</v>
      </c>
      <c r="R720" s="1086">
        <v>0</v>
      </c>
      <c r="S720" s="1086">
        <v>0</v>
      </c>
      <c r="T720" s="1086">
        <v>0</v>
      </c>
      <c r="U720" s="1086">
        <v>1316</v>
      </c>
      <c r="V720" s="1086">
        <v>0</v>
      </c>
      <c r="W720" s="1086">
        <v>0</v>
      </c>
      <c r="X720" s="1086">
        <v>0</v>
      </c>
      <c r="Y720" s="1086">
        <v>0</v>
      </c>
      <c r="Z720" s="1086">
        <v>0</v>
      </c>
      <c r="AA720" s="1086">
        <v>0</v>
      </c>
      <c r="AB720" s="1086">
        <v>0</v>
      </c>
      <c r="AC720" s="1086">
        <v>37922.47</v>
      </c>
      <c r="AD720" s="1086" t="s">
        <v>248</v>
      </c>
      <c r="AE720" s="1086" t="s">
        <v>3883</v>
      </c>
      <c r="AF720" s="1086">
        <f t="shared" si="45"/>
        <v>37922.47</v>
      </c>
      <c r="AG720" s="1086">
        <f t="shared" si="44"/>
        <v>0</v>
      </c>
      <c r="AQ720" s="1086">
        <v>0</v>
      </c>
      <c r="AR720" s="1086">
        <v>0</v>
      </c>
      <c r="AS720" s="1086">
        <v>37922.47</v>
      </c>
      <c r="AT720" s="1086">
        <f t="shared" si="46"/>
        <v>0</v>
      </c>
      <c r="AV720" s="1150">
        <f t="shared" si="47"/>
        <v>1316</v>
      </c>
    </row>
    <row r="721" spans="1:48" x14ac:dyDescent="0.2">
      <c r="A721" s="19">
        <v>736</v>
      </c>
      <c r="B721" t="s">
        <v>2021</v>
      </c>
      <c r="C721" t="s">
        <v>2076</v>
      </c>
      <c r="D721" t="s">
        <v>1026</v>
      </c>
      <c r="E721" t="s">
        <v>2217</v>
      </c>
      <c r="F721" t="s">
        <v>2412</v>
      </c>
      <c r="G721" t="s">
        <v>1250</v>
      </c>
      <c r="H721" t="s">
        <v>3822</v>
      </c>
      <c r="I721" t="s">
        <v>3846</v>
      </c>
      <c r="J721" t="s">
        <v>3357</v>
      </c>
      <c r="K721" t="s">
        <v>3774</v>
      </c>
      <c r="L721" t="s">
        <v>3225</v>
      </c>
      <c r="M721" s="1086">
        <v>37775.11</v>
      </c>
      <c r="N721" s="1086">
        <v>0</v>
      </c>
      <c r="O721" s="1086">
        <v>0</v>
      </c>
      <c r="P721" s="1086">
        <v>9280.74</v>
      </c>
      <c r="Q721" s="1086">
        <v>0</v>
      </c>
      <c r="R721" s="1086">
        <v>0</v>
      </c>
      <c r="S721" s="1086">
        <v>126.23</v>
      </c>
      <c r="T721" s="1086">
        <v>296.41000000000003</v>
      </c>
      <c r="U721" s="1086">
        <v>4409.6499999999996</v>
      </c>
      <c r="V721" s="1086">
        <v>0</v>
      </c>
      <c r="W721" s="1086">
        <v>0</v>
      </c>
      <c r="X721" s="1086">
        <v>435.8</v>
      </c>
      <c r="Y721" s="1086">
        <v>0</v>
      </c>
      <c r="Z721" s="1086">
        <v>0</v>
      </c>
      <c r="AA721" s="1086">
        <v>0</v>
      </c>
      <c r="AB721" s="1086">
        <v>0</v>
      </c>
      <c r="AC721" s="1086">
        <v>23226.28</v>
      </c>
      <c r="AD721" s="1086" t="s">
        <v>248</v>
      </c>
      <c r="AE721" s="1086" t="s">
        <v>3883</v>
      </c>
      <c r="AF721" s="1086">
        <f t="shared" si="45"/>
        <v>23226.280000000002</v>
      </c>
      <c r="AG721" s="1086">
        <f t="shared" si="44"/>
        <v>0</v>
      </c>
      <c r="AQ721" s="1086">
        <v>0</v>
      </c>
      <c r="AR721" s="1086">
        <v>0</v>
      </c>
      <c r="AS721" s="1086">
        <v>23226.28</v>
      </c>
      <c r="AT721" s="1086">
        <f t="shared" si="46"/>
        <v>0</v>
      </c>
      <c r="AV721" s="1150">
        <f t="shared" si="47"/>
        <v>14548.829999999998</v>
      </c>
    </row>
    <row r="722" spans="1:48" x14ac:dyDescent="0.2">
      <c r="A722" s="19">
        <v>737</v>
      </c>
      <c r="B722" t="s">
        <v>2022</v>
      </c>
      <c r="C722" t="s">
        <v>2076</v>
      </c>
      <c r="D722" t="s">
        <v>1060</v>
      </c>
      <c r="E722" t="s">
        <v>2275</v>
      </c>
      <c r="F722" t="s">
        <v>2468</v>
      </c>
      <c r="G722" t="s">
        <v>1257</v>
      </c>
      <c r="H722" t="s">
        <v>3826</v>
      </c>
      <c r="I722">
        <v>0</v>
      </c>
      <c r="L722" t="s">
        <v>3226</v>
      </c>
      <c r="M722" s="1086">
        <v>11463.58</v>
      </c>
      <c r="N722" s="1086">
        <v>0</v>
      </c>
      <c r="O722" s="1086">
        <v>0</v>
      </c>
      <c r="P722" s="1086">
        <v>0</v>
      </c>
      <c r="Q722" s="1086">
        <v>0</v>
      </c>
      <c r="R722" s="1086">
        <v>0</v>
      </c>
      <c r="S722" s="1086">
        <v>0</v>
      </c>
      <c r="T722" s="1086">
        <v>0</v>
      </c>
      <c r="U722" s="1086">
        <v>850</v>
      </c>
      <c r="V722" s="1086">
        <v>0</v>
      </c>
      <c r="W722" s="1086">
        <v>0</v>
      </c>
      <c r="X722" s="1086">
        <v>2729.63</v>
      </c>
      <c r="Y722" s="1086">
        <v>0</v>
      </c>
      <c r="Z722" s="1086">
        <v>0</v>
      </c>
      <c r="AA722" s="1086">
        <v>0</v>
      </c>
      <c r="AB722" s="1086">
        <v>0</v>
      </c>
      <c r="AC722" s="1086">
        <v>7883.95</v>
      </c>
      <c r="AD722" s="1086" t="s">
        <v>248</v>
      </c>
      <c r="AE722" s="1086" t="s">
        <v>3883</v>
      </c>
      <c r="AF722" s="1086">
        <f t="shared" si="45"/>
        <v>7883.95</v>
      </c>
      <c r="AG722" s="1086">
        <f t="shared" si="44"/>
        <v>0</v>
      </c>
      <c r="AQ722" s="1086">
        <v>0</v>
      </c>
      <c r="AR722" s="1086">
        <v>0</v>
      </c>
      <c r="AS722" s="1086">
        <v>7883.95</v>
      </c>
      <c r="AT722" s="1086">
        <f t="shared" si="46"/>
        <v>0</v>
      </c>
      <c r="AV722" s="1150">
        <f t="shared" si="47"/>
        <v>3579.63</v>
      </c>
    </row>
    <row r="723" spans="1:48" x14ac:dyDescent="0.2">
      <c r="A723" s="19">
        <v>738</v>
      </c>
      <c r="B723" t="s">
        <v>2023</v>
      </c>
      <c r="C723" t="s">
        <v>2076</v>
      </c>
      <c r="D723" t="s">
        <v>1005</v>
      </c>
      <c r="E723" t="s">
        <v>2220</v>
      </c>
      <c r="F723" t="s">
        <v>2415</v>
      </c>
      <c r="G723" t="s">
        <v>1250</v>
      </c>
      <c r="H723" t="s">
        <v>3823</v>
      </c>
      <c r="I723" t="s">
        <v>3846</v>
      </c>
      <c r="J723">
        <v>260</v>
      </c>
      <c r="K723" t="s">
        <v>3775</v>
      </c>
      <c r="L723" t="s">
        <v>3227</v>
      </c>
      <c r="M723" s="1086">
        <v>671.21</v>
      </c>
      <c r="N723" s="1086">
        <v>0</v>
      </c>
      <c r="O723" s="1086">
        <v>0</v>
      </c>
      <c r="P723" s="1086">
        <v>0</v>
      </c>
      <c r="Q723" s="1086">
        <v>0</v>
      </c>
      <c r="R723" s="1086">
        <v>0</v>
      </c>
      <c r="S723" s="1086">
        <v>0</v>
      </c>
      <c r="T723" s="1086">
        <v>0</v>
      </c>
      <c r="U723" s="1086">
        <v>0</v>
      </c>
      <c r="V723" s="1086">
        <v>0</v>
      </c>
      <c r="W723" s="1086">
        <v>0</v>
      </c>
      <c r="X723" s="1086">
        <v>671.21</v>
      </c>
      <c r="Y723" s="1086">
        <v>0</v>
      </c>
      <c r="Z723" s="1086">
        <v>0</v>
      </c>
      <c r="AA723" s="1086">
        <v>0</v>
      </c>
      <c r="AB723" s="1086">
        <v>0</v>
      </c>
      <c r="AC723" s="1086">
        <v>0</v>
      </c>
      <c r="AD723" s="1086" t="s">
        <v>248</v>
      </c>
      <c r="AE723" s="1086" t="s">
        <v>3883</v>
      </c>
      <c r="AF723" s="1086">
        <f t="shared" si="45"/>
        <v>0</v>
      </c>
      <c r="AG723" s="1086">
        <f t="shared" si="44"/>
        <v>0</v>
      </c>
      <c r="AQ723" s="1086">
        <v>0</v>
      </c>
      <c r="AR723" s="1086">
        <v>0</v>
      </c>
      <c r="AS723" s="1086">
        <v>0</v>
      </c>
      <c r="AT723" s="1086">
        <f t="shared" si="46"/>
        <v>0</v>
      </c>
      <c r="AV723" s="1150">
        <f t="shared" si="47"/>
        <v>671.21</v>
      </c>
    </row>
    <row r="724" spans="1:48" x14ac:dyDescent="0.2">
      <c r="A724" s="19">
        <v>739</v>
      </c>
      <c r="B724" t="s">
        <v>2024</v>
      </c>
      <c r="C724" t="s">
        <v>2076</v>
      </c>
      <c r="D724" t="s">
        <v>1045</v>
      </c>
      <c r="E724" t="s">
        <v>2221</v>
      </c>
      <c r="F724" t="s">
        <v>2416</v>
      </c>
      <c r="G724" t="s">
        <v>1250</v>
      </c>
      <c r="H724" t="s">
        <v>3822</v>
      </c>
      <c r="I724" t="s">
        <v>3846</v>
      </c>
      <c r="J724" t="s">
        <v>3255</v>
      </c>
      <c r="K724" t="s">
        <v>3776</v>
      </c>
      <c r="L724" t="s">
        <v>3228</v>
      </c>
      <c r="M724" s="1086">
        <v>73.069999999999993</v>
      </c>
      <c r="N724" s="1086">
        <v>49000</v>
      </c>
      <c r="O724" s="1086">
        <v>0</v>
      </c>
      <c r="P724" s="1086">
        <v>0</v>
      </c>
      <c r="Q724" s="1086">
        <v>0</v>
      </c>
      <c r="R724" s="1086">
        <v>0</v>
      </c>
      <c r="S724" s="1086">
        <v>0</v>
      </c>
      <c r="T724" s="1086">
        <v>0</v>
      </c>
      <c r="U724" s="1086">
        <v>13.63</v>
      </c>
      <c r="V724" s="1086">
        <v>0</v>
      </c>
      <c r="W724" s="1086">
        <v>0</v>
      </c>
      <c r="X724" s="1086">
        <v>0</v>
      </c>
      <c r="Y724" s="1086">
        <v>0</v>
      </c>
      <c r="Z724" s="1086">
        <v>0</v>
      </c>
      <c r="AA724" s="1086">
        <v>0</v>
      </c>
      <c r="AB724" s="1086">
        <v>0</v>
      </c>
      <c r="AC724" s="1086">
        <v>49059.44</v>
      </c>
      <c r="AD724" s="1086" t="s">
        <v>248</v>
      </c>
      <c r="AE724" s="1086" t="s">
        <v>3883</v>
      </c>
      <c r="AF724" s="1086">
        <f t="shared" si="45"/>
        <v>49059.44</v>
      </c>
      <c r="AG724" s="1086">
        <f t="shared" si="44"/>
        <v>0</v>
      </c>
      <c r="AQ724" s="1086">
        <v>0</v>
      </c>
      <c r="AR724" s="1086">
        <v>0</v>
      </c>
      <c r="AS724" s="1086">
        <v>49059.44</v>
      </c>
      <c r="AT724" s="1086">
        <f t="shared" si="46"/>
        <v>0</v>
      </c>
      <c r="AV724" s="1150">
        <f t="shared" si="47"/>
        <v>13.63</v>
      </c>
    </row>
    <row r="725" spans="1:48" x14ac:dyDescent="0.2">
      <c r="A725" s="19">
        <v>740</v>
      </c>
      <c r="B725" t="s">
        <v>2025</v>
      </c>
      <c r="C725" t="s">
        <v>2076</v>
      </c>
      <c r="D725" t="s">
        <v>1045</v>
      </c>
      <c r="E725" t="s">
        <v>2221</v>
      </c>
      <c r="F725" t="s">
        <v>2416</v>
      </c>
      <c r="G725" t="s">
        <v>1250</v>
      </c>
      <c r="H725" t="s">
        <v>3825</v>
      </c>
      <c r="I725" t="s">
        <v>3846</v>
      </c>
      <c r="J725" t="s">
        <v>3255</v>
      </c>
      <c r="K725" t="s">
        <v>3777</v>
      </c>
      <c r="L725" t="s">
        <v>3229</v>
      </c>
      <c r="M725" s="1086">
        <v>168.73</v>
      </c>
      <c r="N725" s="1086">
        <v>11654.84</v>
      </c>
      <c r="O725" s="1086">
        <v>0</v>
      </c>
      <c r="P725" s="1086">
        <v>0</v>
      </c>
      <c r="Q725" s="1086">
        <v>0</v>
      </c>
      <c r="R725" s="1086">
        <v>0</v>
      </c>
      <c r="S725" s="1086">
        <v>0</v>
      </c>
      <c r="T725" s="1086">
        <v>0</v>
      </c>
      <c r="U725" s="1086">
        <v>4000</v>
      </c>
      <c r="V725" s="1086">
        <v>0</v>
      </c>
      <c r="W725" s="1086">
        <v>7797.56</v>
      </c>
      <c r="X725" s="1086">
        <v>0</v>
      </c>
      <c r="Y725" s="1086">
        <v>0</v>
      </c>
      <c r="Z725" s="1086">
        <v>0</v>
      </c>
      <c r="AA725" s="1086">
        <v>0</v>
      </c>
      <c r="AB725" s="1086">
        <v>0</v>
      </c>
      <c r="AC725" s="1086">
        <v>26.01</v>
      </c>
      <c r="AD725" s="1086" t="s">
        <v>248</v>
      </c>
      <c r="AE725" s="1086" t="s">
        <v>3883</v>
      </c>
      <c r="AF725" s="1086">
        <f t="shared" si="45"/>
        <v>26.009999999998399</v>
      </c>
      <c r="AG725" s="1086">
        <f t="shared" si="44"/>
        <v>1.6022738691390259E-12</v>
      </c>
      <c r="AQ725" s="1086">
        <v>0</v>
      </c>
      <c r="AR725" s="1086">
        <v>0</v>
      </c>
      <c r="AS725" s="1086">
        <v>26.01</v>
      </c>
      <c r="AT725" s="1086">
        <f t="shared" si="46"/>
        <v>0</v>
      </c>
      <c r="AV725" s="1150">
        <f t="shared" si="47"/>
        <v>11797.560000000001</v>
      </c>
    </row>
    <row r="726" spans="1:48" x14ac:dyDescent="0.2">
      <c r="A726" s="19">
        <v>741</v>
      </c>
      <c r="B726" t="s">
        <v>2026</v>
      </c>
      <c r="C726" t="s">
        <v>2076</v>
      </c>
      <c r="D726" t="s">
        <v>1045</v>
      </c>
      <c r="E726" t="s">
        <v>2221</v>
      </c>
      <c r="F726" t="s">
        <v>2416</v>
      </c>
      <c r="G726" t="s">
        <v>1250</v>
      </c>
      <c r="H726" t="s">
        <v>3822</v>
      </c>
      <c r="I726">
        <v>0</v>
      </c>
      <c r="L726" t="s">
        <v>3230</v>
      </c>
      <c r="M726" s="1086">
        <v>7718.66</v>
      </c>
      <c r="N726" s="1086">
        <v>0</v>
      </c>
      <c r="O726" s="1086">
        <v>0</v>
      </c>
      <c r="P726" s="1086">
        <v>6153.28</v>
      </c>
      <c r="Q726" s="1086">
        <v>0</v>
      </c>
      <c r="R726" s="1086">
        <v>0</v>
      </c>
      <c r="S726" s="1086">
        <v>0</v>
      </c>
      <c r="T726" s="1086">
        <v>1452.88</v>
      </c>
      <c r="U726" s="1086">
        <v>112.5</v>
      </c>
      <c r="V726" s="1086">
        <v>0</v>
      </c>
      <c r="W726" s="1086">
        <v>0</v>
      </c>
      <c r="X726" s="1086">
        <v>0</v>
      </c>
      <c r="Y726" s="1086">
        <v>0</v>
      </c>
      <c r="Z726" s="1086">
        <v>0</v>
      </c>
      <c r="AA726" s="1086">
        <v>0</v>
      </c>
      <c r="AB726" s="1086">
        <v>0</v>
      </c>
      <c r="AC726" s="1086">
        <v>0</v>
      </c>
      <c r="AD726" s="1086" t="s">
        <v>248</v>
      </c>
      <c r="AE726" s="1086" t="s">
        <v>3883</v>
      </c>
      <c r="AF726" s="1086">
        <f t="shared" si="45"/>
        <v>0</v>
      </c>
      <c r="AG726" s="1086">
        <f t="shared" si="44"/>
        <v>0</v>
      </c>
      <c r="AQ726" s="1086">
        <v>0</v>
      </c>
      <c r="AR726" s="1086">
        <v>0</v>
      </c>
      <c r="AS726" s="1086">
        <v>0</v>
      </c>
      <c r="AT726" s="1086">
        <f t="shared" si="46"/>
        <v>0</v>
      </c>
      <c r="AV726" s="1150">
        <f t="shared" si="47"/>
        <v>7718.66</v>
      </c>
    </row>
    <row r="727" spans="1:48" x14ac:dyDescent="0.2">
      <c r="A727" s="19">
        <v>742</v>
      </c>
      <c r="B727" t="s">
        <v>2027</v>
      </c>
      <c r="C727" t="s">
        <v>2076</v>
      </c>
      <c r="D727" t="s">
        <v>2079</v>
      </c>
      <c r="E727" t="s">
        <v>2276</v>
      </c>
      <c r="F727" t="s">
        <v>2469</v>
      </c>
      <c r="G727" t="s">
        <v>3835</v>
      </c>
      <c r="H727" t="s">
        <v>3827</v>
      </c>
      <c r="I727" t="s">
        <v>3846</v>
      </c>
      <c r="J727" t="s">
        <v>3778</v>
      </c>
      <c r="K727" t="s">
        <v>3779</v>
      </c>
      <c r="L727" t="s">
        <v>3231</v>
      </c>
      <c r="M727" s="1086">
        <v>0</v>
      </c>
      <c r="N727" s="1086">
        <v>0</v>
      </c>
      <c r="O727" s="1086">
        <v>0</v>
      </c>
      <c r="P727" s="1086">
        <v>0</v>
      </c>
      <c r="Q727" s="1086">
        <v>0</v>
      </c>
      <c r="R727" s="1086">
        <v>0</v>
      </c>
      <c r="S727" s="1086">
        <v>0</v>
      </c>
      <c r="T727" s="1086">
        <v>-740.92</v>
      </c>
      <c r="U727" s="1086">
        <v>0</v>
      </c>
      <c r="V727" s="1086">
        <v>0</v>
      </c>
      <c r="W727" s="1086">
        <v>0</v>
      </c>
      <c r="X727" s="1086">
        <v>0</v>
      </c>
      <c r="Y727" s="1086">
        <v>0</v>
      </c>
      <c r="Z727" s="1086">
        <v>0</v>
      </c>
      <c r="AA727" s="1086">
        <v>0</v>
      </c>
      <c r="AB727" s="1086">
        <v>0</v>
      </c>
      <c r="AC727" s="1086">
        <v>740.92</v>
      </c>
      <c r="AD727" s="1086" t="s">
        <v>248</v>
      </c>
      <c r="AE727" s="1086" t="s">
        <v>3883</v>
      </c>
      <c r="AF727" s="1086">
        <f t="shared" si="45"/>
        <v>740.92</v>
      </c>
      <c r="AG727" s="1086">
        <f t="shared" si="44"/>
        <v>0</v>
      </c>
      <c r="AQ727" s="1086">
        <v>0</v>
      </c>
      <c r="AR727" s="1086">
        <v>0</v>
      </c>
      <c r="AS727" s="1086">
        <v>740.92</v>
      </c>
      <c r="AT727" s="1086">
        <f t="shared" si="46"/>
        <v>0</v>
      </c>
      <c r="AV727" s="1150">
        <f t="shared" si="47"/>
        <v>-740.92</v>
      </c>
    </row>
    <row r="728" spans="1:48" x14ac:dyDescent="0.2">
      <c r="A728" s="19">
        <v>743</v>
      </c>
      <c r="B728" t="s">
        <v>2028</v>
      </c>
      <c r="C728" t="s">
        <v>2077</v>
      </c>
      <c r="D728" t="s">
        <v>1060</v>
      </c>
      <c r="E728" t="s">
        <v>2103</v>
      </c>
      <c r="F728" t="s">
        <v>2303</v>
      </c>
      <c r="G728" t="s">
        <v>1257</v>
      </c>
      <c r="H728" t="s">
        <v>3830</v>
      </c>
      <c r="I728" t="s">
        <v>3847</v>
      </c>
      <c r="J728" t="s">
        <v>3294</v>
      </c>
      <c r="K728" t="s">
        <v>3780</v>
      </c>
      <c r="L728" t="s">
        <v>2950</v>
      </c>
      <c r="M728" s="1086">
        <v>177478.86</v>
      </c>
      <c r="N728" s="1086">
        <v>538166.85</v>
      </c>
      <c r="O728" s="1086">
        <v>528123.32999999996</v>
      </c>
      <c r="P728" s="1086">
        <v>237060.61</v>
      </c>
      <c r="Q728" s="1086">
        <v>20937.52</v>
      </c>
      <c r="R728" s="1086">
        <v>251224.89</v>
      </c>
      <c r="S728" s="1086">
        <v>39099.72</v>
      </c>
      <c r="T728" s="1086">
        <v>199278.78</v>
      </c>
      <c r="U728" s="1086">
        <v>95317.88</v>
      </c>
      <c r="V728" s="1086">
        <v>0</v>
      </c>
      <c r="W728" s="1086">
        <v>16389.62</v>
      </c>
      <c r="X728" s="1086">
        <v>15460.49</v>
      </c>
      <c r="Y728" s="1086">
        <v>0</v>
      </c>
      <c r="Z728" s="1086">
        <v>0</v>
      </c>
      <c r="AA728" s="1086">
        <v>20084</v>
      </c>
      <c r="AB728" s="1086">
        <v>0</v>
      </c>
      <c r="AC728" s="1086">
        <v>348915.53</v>
      </c>
      <c r="AD728" s="1086" t="s">
        <v>248</v>
      </c>
      <c r="AE728" s="1086" t="s">
        <v>3877</v>
      </c>
      <c r="AF728" s="1086">
        <f t="shared" si="45"/>
        <v>348915.53</v>
      </c>
      <c r="AG728" s="1086">
        <f t="shared" si="44"/>
        <v>0</v>
      </c>
      <c r="AQ728" s="1086">
        <v>0</v>
      </c>
      <c r="AR728" s="1086">
        <v>0</v>
      </c>
      <c r="AS728" s="1086">
        <v>348915.53</v>
      </c>
      <c r="AT728" s="1086">
        <f t="shared" si="46"/>
        <v>0</v>
      </c>
      <c r="AV728" s="1150">
        <f t="shared" si="47"/>
        <v>894853.51</v>
      </c>
    </row>
    <row r="729" spans="1:48" x14ac:dyDescent="0.2">
      <c r="A729" s="19">
        <v>744</v>
      </c>
      <c r="B729" s="167" t="s">
        <v>2029</v>
      </c>
      <c r="C729" t="s">
        <v>2077</v>
      </c>
      <c r="D729" t="s">
        <v>1056</v>
      </c>
      <c r="E729" t="s">
        <v>2117</v>
      </c>
      <c r="F729" t="s">
        <v>2314</v>
      </c>
      <c r="G729" t="s">
        <v>1256</v>
      </c>
      <c r="H729" t="s">
        <v>3830</v>
      </c>
      <c r="I729" t="s">
        <v>3847</v>
      </c>
      <c r="J729" t="s">
        <v>3781</v>
      </c>
      <c r="K729" t="s">
        <v>3782</v>
      </c>
      <c r="L729" t="s">
        <v>2951</v>
      </c>
      <c r="M729" s="1086">
        <v>1327951.78</v>
      </c>
      <c r="N729" s="1086">
        <v>5216485.46</v>
      </c>
      <c r="O729" s="1086">
        <v>980653.26</v>
      </c>
      <c r="P729" s="1086">
        <v>6250</v>
      </c>
      <c r="Q729" s="1086">
        <v>0</v>
      </c>
      <c r="R729" s="1086">
        <v>101355.84</v>
      </c>
      <c r="S729" s="1086">
        <v>196183.49</v>
      </c>
      <c r="T729" s="1086">
        <v>89705.68</v>
      </c>
      <c r="U729" s="1086">
        <v>1079954.5</v>
      </c>
      <c r="V729" s="1086">
        <v>0</v>
      </c>
      <c r="W729" s="1086">
        <v>479.34</v>
      </c>
      <c r="X729" s="1086">
        <v>1688.83</v>
      </c>
      <c r="Y729" s="1086">
        <v>-342276.61</v>
      </c>
      <c r="Z729" s="1086">
        <v>0</v>
      </c>
      <c r="AA729" s="1086">
        <v>2282509.96</v>
      </c>
      <c r="AB729" s="1086">
        <v>2933355.68</v>
      </c>
      <c r="AC729" s="1086">
        <v>1175384.5900000001</v>
      </c>
      <c r="AD729" s="1086" t="s">
        <v>248</v>
      </c>
      <c r="AE729" s="1086" t="s">
        <v>3877</v>
      </c>
      <c r="AF729" s="1086">
        <f t="shared" si="45"/>
        <v>1175384.5899999992</v>
      </c>
      <c r="AG729" s="1086">
        <f t="shared" si="44"/>
        <v>0</v>
      </c>
      <c r="AQ729" s="1086">
        <v>364.77</v>
      </c>
      <c r="AR729" s="1086">
        <v>134.43</v>
      </c>
      <c r="AS729" s="1086">
        <v>1175384.5900000001</v>
      </c>
      <c r="AT729" s="1086">
        <f t="shared" si="46"/>
        <v>0</v>
      </c>
      <c r="AV729" s="1150">
        <f t="shared" si="47"/>
        <v>6349705.9100000001</v>
      </c>
    </row>
    <row r="730" spans="1:48" x14ac:dyDescent="0.2">
      <c r="A730" s="19">
        <v>745</v>
      </c>
      <c r="B730" t="s">
        <v>2030</v>
      </c>
      <c r="C730" t="s">
        <v>2077</v>
      </c>
      <c r="D730" t="s">
        <v>1060</v>
      </c>
      <c r="E730" t="s">
        <v>2164</v>
      </c>
      <c r="F730" t="s">
        <v>2361</v>
      </c>
      <c r="G730" t="s">
        <v>1257</v>
      </c>
      <c r="H730" t="s">
        <v>3830</v>
      </c>
      <c r="I730" t="s">
        <v>3847</v>
      </c>
      <c r="J730" t="s">
        <v>3294</v>
      </c>
      <c r="K730" t="s">
        <v>3783</v>
      </c>
      <c r="L730" t="s">
        <v>2952</v>
      </c>
      <c r="M730" s="1086">
        <v>288776.56</v>
      </c>
      <c r="N730" s="1086">
        <v>2960340.93</v>
      </c>
      <c r="O730" s="1086">
        <v>198456</v>
      </c>
      <c r="P730" s="1086">
        <v>1270106.75</v>
      </c>
      <c r="Q730" s="1086">
        <v>55125</v>
      </c>
      <c r="R730" s="1086">
        <v>22742.89</v>
      </c>
      <c r="S730" s="1086">
        <v>281388.88</v>
      </c>
      <c r="T730" s="1086">
        <v>503516.5</v>
      </c>
      <c r="U730" s="1086">
        <v>618849.12</v>
      </c>
      <c r="V730" s="1086">
        <v>0</v>
      </c>
      <c r="W730" s="1086">
        <v>90753.22</v>
      </c>
      <c r="X730" s="1086">
        <v>82490.41</v>
      </c>
      <c r="Y730" s="1086">
        <v>-582.25</v>
      </c>
      <c r="Z730" s="1086">
        <v>0</v>
      </c>
      <c r="AA730" s="1086">
        <v>106900.05</v>
      </c>
      <c r="AB730" s="1086">
        <v>0</v>
      </c>
      <c r="AC730" s="1086">
        <v>416282.92</v>
      </c>
      <c r="AD730" s="1086" t="s">
        <v>248</v>
      </c>
      <c r="AE730" s="1086" t="s">
        <v>3877</v>
      </c>
      <c r="AF730" s="1086">
        <f t="shared" si="45"/>
        <v>416282.91999999993</v>
      </c>
      <c r="AG730" s="1086">
        <f t="shared" si="44"/>
        <v>0</v>
      </c>
      <c r="AQ730" s="1086">
        <v>0</v>
      </c>
      <c r="AR730" s="1086">
        <v>0</v>
      </c>
      <c r="AS730" s="1086">
        <v>416282.92</v>
      </c>
      <c r="AT730" s="1086">
        <f t="shared" si="46"/>
        <v>0</v>
      </c>
      <c r="AV730" s="1150">
        <f t="shared" si="47"/>
        <v>3031290.5700000003</v>
      </c>
    </row>
    <row r="731" spans="1:48" x14ac:dyDescent="0.2">
      <c r="A731" s="19">
        <v>746</v>
      </c>
      <c r="B731" t="s">
        <v>2031</v>
      </c>
      <c r="C731" t="s">
        <v>2077</v>
      </c>
      <c r="D731" t="s">
        <v>1059</v>
      </c>
      <c r="E731" t="s">
        <v>2271</v>
      </c>
      <c r="F731" t="s">
        <v>2464</v>
      </c>
      <c r="G731" t="s">
        <v>1250</v>
      </c>
      <c r="H731" t="s">
        <v>3830</v>
      </c>
      <c r="I731" t="s">
        <v>3847</v>
      </c>
      <c r="J731" t="s">
        <v>3753</v>
      </c>
      <c r="K731" t="s">
        <v>3784</v>
      </c>
      <c r="L731" t="s">
        <v>2953</v>
      </c>
      <c r="M731" s="1086">
        <v>10153.549999999999</v>
      </c>
      <c r="N731" s="1086">
        <v>24155.84</v>
      </c>
      <c r="O731" s="1086">
        <v>50000</v>
      </c>
      <c r="P731" s="1086">
        <v>100</v>
      </c>
      <c r="Q731" s="1086">
        <v>0</v>
      </c>
      <c r="R731" s="1086">
        <v>0</v>
      </c>
      <c r="S731" s="1086">
        <v>56630</v>
      </c>
      <c r="T731" s="1086">
        <v>1133.1600000000001</v>
      </c>
      <c r="U731" s="1086">
        <v>17838.5</v>
      </c>
      <c r="V731" s="1086">
        <v>0</v>
      </c>
      <c r="W731" s="1086">
        <v>204.32</v>
      </c>
      <c r="X731" s="1086">
        <v>0</v>
      </c>
      <c r="Y731" s="1086">
        <v>-13171</v>
      </c>
      <c r="Z731" s="1086">
        <v>0</v>
      </c>
      <c r="AA731" s="1086">
        <v>952.14</v>
      </c>
      <c r="AB731" s="1086">
        <v>0</v>
      </c>
      <c r="AC731" s="1086">
        <v>20622.27</v>
      </c>
      <c r="AD731" s="1086" t="s">
        <v>248</v>
      </c>
      <c r="AE731" s="1086" t="s">
        <v>3877</v>
      </c>
      <c r="AF731" s="1086">
        <f t="shared" si="45"/>
        <v>20622.26999999999</v>
      </c>
      <c r="AG731" s="1086">
        <f t="shared" si="44"/>
        <v>0</v>
      </c>
      <c r="AQ731" s="1086">
        <v>0</v>
      </c>
      <c r="AR731" s="1086">
        <v>0</v>
      </c>
      <c r="AS731" s="1086">
        <v>20622.27</v>
      </c>
      <c r="AT731" s="1086">
        <f t="shared" si="46"/>
        <v>0</v>
      </c>
      <c r="AV731" s="1150">
        <f t="shared" si="47"/>
        <v>63687.12000000001</v>
      </c>
    </row>
    <row r="732" spans="1:48" x14ac:dyDescent="0.2">
      <c r="A732" s="19">
        <v>747</v>
      </c>
      <c r="B732" t="s">
        <v>2032</v>
      </c>
      <c r="C732" t="s">
        <v>2077</v>
      </c>
      <c r="D732" t="s">
        <v>1060</v>
      </c>
      <c r="E732" t="s">
        <v>2256</v>
      </c>
      <c r="F732" t="s">
        <v>2450</v>
      </c>
      <c r="G732" t="s">
        <v>1257</v>
      </c>
      <c r="H732" t="s">
        <v>3830</v>
      </c>
      <c r="I732" t="s">
        <v>3847</v>
      </c>
      <c r="J732" t="s">
        <v>3645</v>
      </c>
      <c r="K732" t="s">
        <v>3785</v>
      </c>
      <c r="L732" t="s">
        <v>2954</v>
      </c>
      <c r="M732" s="1086">
        <v>540366.72</v>
      </c>
      <c r="N732" s="1086">
        <v>1249911.33</v>
      </c>
      <c r="O732" s="1086">
        <v>2822.07</v>
      </c>
      <c r="P732" s="1086">
        <v>69050.039999999994</v>
      </c>
      <c r="Q732" s="1086">
        <v>0</v>
      </c>
      <c r="R732" s="1086">
        <v>0</v>
      </c>
      <c r="S732" s="1086">
        <v>151094.73000000001</v>
      </c>
      <c r="T732" s="1086">
        <v>22779.27</v>
      </c>
      <c r="U732" s="1086">
        <v>657419.88</v>
      </c>
      <c r="V732" s="1086">
        <v>0</v>
      </c>
      <c r="W732" s="1086">
        <v>15838.73</v>
      </c>
      <c r="X732" s="1086">
        <v>14511.66</v>
      </c>
      <c r="Y732" s="1086">
        <v>0</v>
      </c>
      <c r="Z732" s="1086">
        <v>0</v>
      </c>
      <c r="AA732" s="1086">
        <v>348768.75</v>
      </c>
      <c r="AB732" s="1086">
        <v>0</v>
      </c>
      <c r="AC732" s="1086">
        <v>513637.06</v>
      </c>
      <c r="AD732" s="1086" t="s">
        <v>248</v>
      </c>
      <c r="AE732" s="1086" t="s">
        <v>3877</v>
      </c>
      <c r="AF732" s="1086">
        <f t="shared" si="45"/>
        <v>513637.06000000006</v>
      </c>
      <c r="AG732" s="1086">
        <f t="shared" si="44"/>
        <v>0</v>
      </c>
      <c r="AQ732" s="1086">
        <v>0</v>
      </c>
      <c r="AR732" s="1086">
        <v>0</v>
      </c>
      <c r="AS732" s="1086">
        <v>513637.06</v>
      </c>
      <c r="AT732" s="1086">
        <f t="shared" si="46"/>
        <v>0</v>
      </c>
      <c r="AV732" s="1150">
        <f t="shared" si="47"/>
        <v>1279463.06</v>
      </c>
    </row>
    <row r="733" spans="1:48" x14ac:dyDescent="0.2">
      <c r="A733" s="19">
        <v>748</v>
      </c>
      <c r="B733" t="s">
        <v>2033</v>
      </c>
      <c r="C733" t="s">
        <v>2077</v>
      </c>
      <c r="D733" t="s">
        <v>1048</v>
      </c>
      <c r="E733" t="s">
        <v>2193</v>
      </c>
      <c r="F733" t="s">
        <v>2388</v>
      </c>
      <c r="G733" t="s">
        <v>1257</v>
      </c>
      <c r="H733" t="s">
        <v>3830</v>
      </c>
      <c r="I733">
        <v>2457</v>
      </c>
      <c r="J733" t="s">
        <v>3502</v>
      </c>
      <c r="K733" t="s">
        <v>3786</v>
      </c>
      <c r="L733" t="s">
        <v>2955</v>
      </c>
      <c r="M733" s="1086">
        <v>39337.57</v>
      </c>
      <c r="N733" s="1086">
        <v>83904.4</v>
      </c>
      <c r="O733" s="1086">
        <v>27000</v>
      </c>
      <c r="P733" s="1086">
        <v>14924.05</v>
      </c>
      <c r="Q733" s="1086">
        <v>15980</v>
      </c>
      <c r="R733" s="1086">
        <v>0</v>
      </c>
      <c r="S733" s="1086">
        <v>36075.800000000003</v>
      </c>
      <c r="T733" s="1086">
        <v>22754.560000000001</v>
      </c>
      <c r="U733" s="1086">
        <v>57090.65</v>
      </c>
      <c r="V733" s="1086">
        <v>0</v>
      </c>
      <c r="W733" s="1086">
        <v>0</v>
      </c>
      <c r="X733" s="1086">
        <v>0</v>
      </c>
      <c r="Y733" s="1086">
        <v>0</v>
      </c>
      <c r="Z733" s="1086">
        <v>0</v>
      </c>
      <c r="AA733" s="1086">
        <v>2983.52</v>
      </c>
      <c r="AB733" s="1086">
        <v>0</v>
      </c>
      <c r="AC733" s="1086">
        <v>433.39</v>
      </c>
      <c r="AD733" s="1086" t="s">
        <v>248</v>
      </c>
      <c r="AE733" s="1086" t="s">
        <v>3877</v>
      </c>
      <c r="AF733" s="1086">
        <f t="shared" si="45"/>
        <v>433.39000000001397</v>
      </c>
      <c r="AG733" s="1086">
        <f t="shared" si="44"/>
        <v>-1.3983481039758772E-11</v>
      </c>
      <c r="AQ733" s="1086">
        <v>0</v>
      </c>
      <c r="AR733" s="1086">
        <v>0</v>
      </c>
      <c r="AS733" s="1086">
        <v>433.39</v>
      </c>
      <c r="AT733" s="1086">
        <f t="shared" si="46"/>
        <v>0</v>
      </c>
      <c r="AV733" s="1150">
        <f t="shared" si="47"/>
        <v>149808.57999999999</v>
      </c>
    </row>
    <row r="734" spans="1:48" x14ac:dyDescent="0.2">
      <c r="A734" s="19">
        <v>749</v>
      </c>
      <c r="B734" t="s">
        <v>2034</v>
      </c>
      <c r="C734" t="s">
        <v>2077</v>
      </c>
      <c r="D734" t="s">
        <v>1060</v>
      </c>
      <c r="E734" t="s">
        <v>2272</v>
      </c>
      <c r="F734" t="s">
        <v>2465</v>
      </c>
      <c r="G734" t="s">
        <v>1257</v>
      </c>
      <c r="H734" t="s">
        <v>3830</v>
      </c>
      <c r="I734" t="s">
        <v>3847</v>
      </c>
      <c r="J734" t="s">
        <v>3766</v>
      </c>
      <c r="K734" t="s">
        <v>3787</v>
      </c>
      <c r="L734" t="s">
        <v>2465</v>
      </c>
      <c r="M734" s="1086">
        <v>4153.42</v>
      </c>
      <c r="N734" s="1086">
        <v>12766</v>
      </c>
      <c r="O734" s="1086">
        <v>45000</v>
      </c>
      <c r="P734" s="1086">
        <v>11900</v>
      </c>
      <c r="Q734" s="1086">
        <v>0</v>
      </c>
      <c r="R734" s="1086">
        <v>0</v>
      </c>
      <c r="S734" s="1086">
        <v>46692.98</v>
      </c>
      <c r="T734" s="1086">
        <v>6009.33</v>
      </c>
      <c r="U734" s="1086">
        <v>3623.89</v>
      </c>
      <c r="V734" s="1086">
        <v>0</v>
      </c>
      <c r="W734" s="1086">
        <v>0</v>
      </c>
      <c r="X734" s="1086">
        <v>0</v>
      </c>
      <c r="Y734" s="1086">
        <v>-8364</v>
      </c>
      <c r="Z734" s="1086">
        <v>0</v>
      </c>
      <c r="AA734" s="1086">
        <v>453.64</v>
      </c>
      <c r="AB734" s="1086">
        <v>0</v>
      </c>
      <c r="AC734" s="1086">
        <v>1603.58</v>
      </c>
      <c r="AD734" s="1086" t="s">
        <v>248</v>
      </c>
      <c r="AE734" s="1086" t="s">
        <v>3877</v>
      </c>
      <c r="AF734" s="1086">
        <f t="shared" si="45"/>
        <v>1603.5799999999872</v>
      </c>
      <c r="AG734" s="1086">
        <f t="shared" si="44"/>
        <v>1.2732925824820995E-11</v>
      </c>
      <c r="AQ734" s="1086">
        <v>0</v>
      </c>
      <c r="AR734" s="1086">
        <v>0</v>
      </c>
      <c r="AS734" s="1086">
        <v>1603.58</v>
      </c>
      <c r="AT734" s="1086">
        <f t="shared" si="46"/>
        <v>0</v>
      </c>
      <c r="AV734" s="1150">
        <f t="shared" si="47"/>
        <v>60315.840000000011</v>
      </c>
    </row>
    <row r="735" spans="1:48" x14ac:dyDescent="0.2">
      <c r="A735" s="19">
        <v>750</v>
      </c>
      <c r="B735" t="s">
        <v>2035</v>
      </c>
      <c r="C735" t="s">
        <v>2077</v>
      </c>
      <c r="D735" t="s">
        <v>1037</v>
      </c>
      <c r="E735" t="s">
        <v>2203</v>
      </c>
      <c r="F735" t="s">
        <v>2398</v>
      </c>
      <c r="G735" t="s">
        <v>1250</v>
      </c>
      <c r="H735" t="s">
        <v>3830</v>
      </c>
      <c r="I735" t="s">
        <v>3847</v>
      </c>
      <c r="J735" t="s">
        <v>3274</v>
      </c>
      <c r="K735" t="s">
        <v>3788</v>
      </c>
      <c r="L735" t="s">
        <v>2956</v>
      </c>
      <c r="M735" s="1086">
        <v>131009.42</v>
      </c>
      <c r="N735" s="1086">
        <v>288865.2</v>
      </c>
      <c r="O735" s="1086">
        <v>35000</v>
      </c>
      <c r="P735" s="1086">
        <v>59595.1</v>
      </c>
      <c r="Q735" s="1086">
        <v>11275</v>
      </c>
      <c r="R735" s="1086">
        <v>0</v>
      </c>
      <c r="S735" s="1086">
        <v>55570.37</v>
      </c>
      <c r="T735" s="1086">
        <v>26870.51</v>
      </c>
      <c r="U735" s="1086">
        <v>25719.8</v>
      </c>
      <c r="V735" s="1086">
        <v>0</v>
      </c>
      <c r="W735" s="1086">
        <v>4955.12</v>
      </c>
      <c r="X735" s="1086">
        <v>2570.4699999999998</v>
      </c>
      <c r="Y735" s="1086">
        <v>0</v>
      </c>
      <c r="Z735" s="1086">
        <v>0</v>
      </c>
      <c r="AA735" s="1086">
        <v>147684.43</v>
      </c>
      <c r="AB735" s="1086">
        <v>0</v>
      </c>
      <c r="AC735" s="1086">
        <v>120633.82</v>
      </c>
      <c r="AD735" s="1086" t="s">
        <v>248</v>
      </c>
      <c r="AE735" s="1086" t="s">
        <v>3877</v>
      </c>
      <c r="AF735" s="1086">
        <f t="shared" si="45"/>
        <v>120633.82</v>
      </c>
      <c r="AG735" s="1086">
        <f t="shared" si="44"/>
        <v>0</v>
      </c>
      <c r="AQ735" s="1086">
        <v>0</v>
      </c>
      <c r="AR735" s="1086">
        <v>0</v>
      </c>
      <c r="AS735" s="1086">
        <v>120633.82</v>
      </c>
      <c r="AT735" s="1086">
        <f t="shared" si="46"/>
        <v>0</v>
      </c>
      <c r="AV735" s="1150">
        <f t="shared" si="47"/>
        <v>334240.8</v>
      </c>
    </row>
    <row r="736" spans="1:48" x14ac:dyDescent="0.2">
      <c r="A736" s="19">
        <v>751</v>
      </c>
      <c r="B736" t="s">
        <v>2036</v>
      </c>
      <c r="C736" t="s">
        <v>2077</v>
      </c>
      <c r="D736" t="s">
        <v>1060</v>
      </c>
      <c r="E736" t="s">
        <v>2277</v>
      </c>
      <c r="F736" t="s">
        <v>2470</v>
      </c>
      <c r="G736" t="s">
        <v>1257</v>
      </c>
      <c r="H736" t="s">
        <v>3830</v>
      </c>
      <c r="I736" t="s">
        <v>3847</v>
      </c>
      <c r="J736" t="s">
        <v>3789</v>
      </c>
      <c r="K736" t="s">
        <v>3790</v>
      </c>
      <c r="L736" t="s">
        <v>2957</v>
      </c>
      <c r="M736" s="1086">
        <v>811574.76</v>
      </c>
      <c r="N736" s="1086">
        <v>988595.44</v>
      </c>
      <c r="O736" s="1086">
        <v>500</v>
      </c>
      <c r="P736" s="1086">
        <v>264246.96000000002</v>
      </c>
      <c r="Q736" s="1086">
        <v>28000</v>
      </c>
      <c r="R736" s="1086">
        <v>12604.23</v>
      </c>
      <c r="S736" s="1086">
        <v>87210.98</v>
      </c>
      <c r="T736" s="1086">
        <v>105024.25</v>
      </c>
      <c r="U736" s="1086">
        <v>851979.69</v>
      </c>
      <c r="V736" s="1086">
        <v>0</v>
      </c>
      <c r="W736" s="1086">
        <v>7249.03</v>
      </c>
      <c r="X736" s="1086">
        <v>3955.24</v>
      </c>
      <c r="Y736" s="1086">
        <v>-790198.68</v>
      </c>
      <c r="Z736" s="1086">
        <v>0</v>
      </c>
      <c r="AA736" s="1086">
        <v>296079.08</v>
      </c>
      <c r="AB736" s="1086">
        <v>0</v>
      </c>
      <c r="AC736" s="1086">
        <v>934519.42</v>
      </c>
      <c r="AD736" s="1086" t="s">
        <v>248</v>
      </c>
      <c r="AE736" s="1086" t="s">
        <v>3877</v>
      </c>
      <c r="AF736" s="1086">
        <f t="shared" si="45"/>
        <v>934519.42000000016</v>
      </c>
      <c r="AG736" s="1086">
        <f t="shared" si="44"/>
        <v>0</v>
      </c>
      <c r="AQ736" s="1086">
        <v>0</v>
      </c>
      <c r="AR736" s="1086">
        <v>0</v>
      </c>
      <c r="AS736" s="1086">
        <v>934519.42</v>
      </c>
      <c r="AT736" s="1086">
        <f t="shared" si="46"/>
        <v>0</v>
      </c>
      <c r="AV736" s="1150">
        <f t="shared" si="47"/>
        <v>866150.7799999998</v>
      </c>
    </row>
    <row r="737" spans="1:48" x14ac:dyDescent="0.2">
      <c r="A737" s="19">
        <v>752</v>
      </c>
      <c r="B737" t="s">
        <v>2037</v>
      </c>
      <c r="C737" t="s">
        <v>2077</v>
      </c>
      <c r="D737" t="s">
        <v>1060</v>
      </c>
      <c r="E737" t="s">
        <v>2277</v>
      </c>
      <c r="F737" t="s">
        <v>2470</v>
      </c>
      <c r="G737" t="s">
        <v>1257</v>
      </c>
      <c r="H737" t="s">
        <v>3830</v>
      </c>
      <c r="I737" t="s">
        <v>3847</v>
      </c>
      <c r="J737" t="s">
        <v>3294</v>
      </c>
      <c r="K737" t="s">
        <v>3791</v>
      </c>
      <c r="L737" t="s">
        <v>2958</v>
      </c>
      <c r="M737" s="1086">
        <v>1560378.06</v>
      </c>
      <c r="N737" s="1086">
        <v>5005470.1700000009</v>
      </c>
      <c r="O737" s="1086">
        <v>794087.63</v>
      </c>
      <c r="P737" s="1086">
        <v>519077.52</v>
      </c>
      <c r="Q737" s="1086">
        <v>22916.400000000001</v>
      </c>
      <c r="R737" s="1086">
        <v>545323.92000000004</v>
      </c>
      <c r="S737" s="1086">
        <v>468395.21</v>
      </c>
      <c r="T737" s="1086">
        <v>412975.7</v>
      </c>
      <c r="U737" s="1086">
        <v>429113.11</v>
      </c>
      <c r="V737" s="1086">
        <v>0</v>
      </c>
      <c r="W737" s="1086">
        <v>16059.55</v>
      </c>
      <c r="X737" s="1086">
        <v>19187.400000000001</v>
      </c>
      <c r="Y737" s="1086">
        <v>-60425</v>
      </c>
      <c r="Z737" s="1086">
        <v>0</v>
      </c>
      <c r="AA737" s="1086">
        <v>1247841.3799999999</v>
      </c>
      <c r="AB737" s="1086">
        <v>2427250</v>
      </c>
      <c r="AC737" s="1086">
        <v>1311862.47</v>
      </c>
      <c r="AD737" s="1086" t="s">
        <v>248</v>
      </c>
      <c r="AE737" s="1086" t="s">
        <v>3877</v>
      </c>
      <c r="AF737" s="1086">
        <f t="shared" si="45"/>
        <v>1311862.4700000009</v>
      </c>
      <c r="AG737" s="1086">
        <f t="shared" si="44"/>
        <v>0</v>
      </c>
      <c r="AQ737" s="1086">
        <v>358.2</v>
      </c>
      <c r="AR737" s="1086">
        <v>0</v>
      </c>
      <c r="AS737" s="1086">
        <v>1311862.47</v>
      </c>
      <c r="AT737" s="1086">
        <f t="shared" si="46"/>
        <v>0</v>
      </c>
      <c r="AV737" s="1150">
        <f t="shared" si="47"/>
        <v>6048073.3899999997</v>
      </c>
    </row>
    <row r="738" spans="1:48" x14ac:dyDescent="0.2">
      <c r="A738" s="19">
        <v>753</v>
      </c>
      <c r="B738" t="s">
        <v>2038</v>
      </c>
      <c r="C738" t="s">
        <v>2077</v>
      </c>
      <c r="D738" t="s">
        <v>1030</v>
      </c>
      <c r="E738" t="s">
        <v>2274</v>
      </c>
      <c r="F738" t="s">
        <v>2467</v>
      </c>
      <c r="G738" t="s">
        <v>1257</v>
      </c>
      <c r="H738" t="s">
        <v>3830</v>
      </c>
      <c r="I738" t="s">
        <v>3847</v>
      </c>
      <c r="J738" t="s">
        <v>3641</v>
      </c>
      <c r="K738" t="s">
        <v>3792</v>
      </c>
      <c r="L738" t="s">
        <v>2959</v>
      </c>
      <c r="M738" s="1086">
        <v>453767.78</v>
      </c>
      <c r="N738" s="1086">
        <v>1396121.78</v>
      </c>
      <c r="O738" s="1086">
        <v>0</v>
      </c>
      <c r="P738" s="1086">
        <v>221801.36</v>
      </c>
      <c r="Q738" s="1086">
        <v>17570</v>
      </c>
      <c r="R738" s="1086">
        <v>93316.9</v>
      </c>
      <c r="S738" s="1086">
        <v>0</v>
      </c>
      <c r="T738" s="1086">
        <v>115118.05</v>
      </c>
      <c r="U738" s="1086">
        <v>816532.02</v>
      </c>
      <c r="V738" s="1086">
        <v>0</v>
      </c>
      <c r="W738" s="1086">
        <v>1126.17</v>
      </c>
      <c r="X738" s="1086">
        <v>0</v>
      </c>
      <c r="Y738" s="1086">
        <v>-41937.78</v>
      </c>
      <c r="Z738" s="1086">
        <v>0</v>
      </c>
      <c r="AA738" s="1086">
        <v>49555.49</v>
      </c>
      <c r="AB738" s="1086">
        <v>0</v>
      </c>
      <c r="AC738" s="1086">
        <v>576807.35</v>
      </c>
      <c r="AD738" s="1086" t="s">
        <v>248</v>
      </c>
      <c r="AE738" s="1086" t="s">
        <v>3877</v>
      </c>
      <c r="AF738" s="1086">
        <f t="shared" si="45"/>
        <v>576807.35000000009</v>
      </c>
      <c r="AG738" s="1086">
        <f t="shared" si="44"/>
        <v>0</v>
      </c>
      <c r="AQ738" s="1086">
        <v>0</v>
      </c>
      <c r="AR738" s="1086">
        <v>0</v>
      </c>
      <c r="AS738" s="1086">
        <v>576807.35</v>
      </c>
      <c r="AT738" s="1086">
        <f t="shared" si="46"/>
        <v>0</v>
      </c>
      <c r="AV738" s="1150">
        <f t="shared" si="47"/>
        <v>1273082.21</v>
      </c>
    </row>
    <row r="739" spans="1:48" x14ac:dyDescent="0.2">
      <c r="A739" s="19">
        <v>754</v>
      </c>
      <c r="B739" t="s">
        <v>2039</v>
      </c>
      <c r="C739" t="s">
        <v>2077</v>
      </c>
      <c r="D739" t="s">
        <v>1030</v>
      </c>
      <c r="E739" t="s">
        <v>2274</v>
      </c>
      <c r="F739" t="s">
        <v>2467</v>
      </c>
      <c r="G739" t="s">
        <v>1257</v>
      </c>
      <c r="H739" t="s">
        <v>3830</v>
      </c>
      <c r="I739" t="s">
        <v>3847</v>
      </c>
      <c r="J739" t="s">
        <v>3641</v>
      </c>
      <c r="K739" t="s">
        <v>3793</v>
      </c>
      <c r="L739" t="s">
        <v>2960</v>
      </c>
      <c r="M739" s="1086">
        <v>291021.28000000003</v>
      </c>
      <c r="N739" s="1086">
        <v>4345796.57</v>
      </c>
      <c r="O739" s="1086">
        <v>47342.37</v>
      </c>
      <c r="P739" s="1086">
        <v>1648294.49</v>
      </c>
      <c r="Q739" s="1086">
        <v>0</v>
      </c>
      <c r="R739" s="1086">
        <v>834700.13</v>
      </c>
      <c r="S739" s="1086">
        <v>37449.050000000003</v>
      </c>
      <c r="T739" s="1086">
        <v>791327.2</v>
      </c>
      <c r="U739" s="1086">
        <v>727484.13</v>
      </c>
      <c r="V739" s="1086">
        <v>0</v>
      </c>
      <c r="W739" s="1086">
        <v>3304.56</v>
      </c>
      <c r="X739" s="1086">
        <v>35982.620000000003</v>
      </c>
      <c r="Y739" s="1086">
        <v>0</v>
      </c>
      <c r="Z739" s="1086">
        <v>0</v>
      </c>
      <c r="AA739" s="1086">
        <v>211201.98</v>
      </c>
      <c r="AB739" s="1086">
        <v>202600</v>
      </c>
      <c r="AC739" s="1086">
        <v>191816.06</v>
      </c>
      <c r="AD739" s="1086" t="s">
        <v>248</v>
      </c>
      <c r="AE739" s="1086" t="s">
        <v>3877</v>
      </c>
      <c r="AF739" s="1086">
        <f t="shared" si="45"/>
        <v>191816.06000000052</v>
      </c>
      <c r="AG739" s="1086">
        <f t="shared" si="44"/>
        <v>-5.2386894822120667E-10</v>
      </c>
      <c r="AQ739" s="1086">
        <v>0</v>
      </c>
      <c r="AR739" s="1086">
        <v>0</v>
      </c>
      <c r="AS739" s="1086">
        <v>191816.06</v>
      </c>
      <c r="AT739" s="1086">
        <f t="shared" si="46"/>
        <v>0</v>
      </c>
      <c r="AV739" s="1150">
        <f t="shared" si="47"/>
        <v>4492344.16</v>
      </c>
    </row>
    <row r="740" spans="1:48" x14ac:dyDescent="0.2">
      <c r="A740" s="19">
        <v>755</v>
      </c>
      <c r="B740" s="167" t="s">
        <v>2040</v>
      </c>
      <c r="C740" t="s">
        <v>2077</v>
      </c>
      <c r="D740" t="s">
        <v>1030</v>
      </c>
      <c r="E740" t="s">
        <v>2274</v>
      </c>
      <c r="F740" t="s">
        <v>2467</v>
      </c>
      <c r="G740" t="s">
        <v>1257</v>
      </c>
      <c r="H740" t="s">
        <v>3830</v>
      </c>
      <c r="I740" t="s">
        <v>3847</v>
      </c>
      <c r="J740" t="s">
        <v>3641</v>
      </c>
      <c r="K740" t="s">
        <v>3794</v>
      </c>
      <c r="L740" t="s">
        <v>2961</v>
      </c>
      <c r="M740" s="1086">
        <v>36836.800000000003</v>
      </c>
      <c r="N740" s="1086">
        <v>87925.5</v>
      </c>
      <c r="O740" s="1086">
        <v>100000</v>
      </c>
      <c r="P740" s="1086">
        <v>94609.97</v>
      </c>
      <c r="Q740" s="1086">
        <v>0</v>
      </c>
      <c r="R740" s="1086">
        <v>68054.080000000002</v>
      </c>
      <c r="S740" s="1086">
        <v>0</v>
      </c>
      <c r="T740" s="1086">
        <v>51012.7</v>
      </c>
      <c r="U740" s="1086">
        <v>4881.6499999999996</v>
      </c>
      <c r="V740" s="1086">
        <v>0</v>
      </c>
      <c r="W740" s="1086">
        <v>0</v>
      </c>
      <c r="X740" s="1086">
        <v>0</v>
      </c>
      <c r="Y740" s="1086">
        <v>0</v>
      </c>
      <c r="Z740" s="1086">
        <v>0</v>
      </c>
      <c r="AA740" s="1086">
        <v>2865.2</v>
      </c>
      <c r="AB740" s="1086">
        <v>0</v>
      </c>
      <c r="AC740" s="1086">
        <v>3338.7</v>
      </c>
      <c r="AD740" s="1086" t="s">
        <v>248</v>
      </c>
      <c r="AE740" s="1086" t="s">
        <v>3877</v>
      </c>
      <c r="AF740" s="1086">
        <f t="shared" si="45"/>
        <v>3338.6999999999825</v>
      </c>
      <c r="AG740" s="1086">
        <f t="shared" si="44"/>
        <v>1.7280399333685637E-11</v>
      </c>
      <c r="AQ740" s="1086">
        <v>0</v>
      </c>
      <c r="AR740" s="1086">
        <v>0</v>
      </c>
      <c r="AS740" s="1086">
        <v>3338.7</v>
      </c>
      <c r="AT740" s="1086">
        <f t="shared" si="46"/>
        <v>0</v>
      </c>
      <c r="AV740" s="1150">
        <f t="shared" si="47"/>
        <v>221423.6</v>
      </c>
    </row>
    <row r="741" spans="1:48" x14ac:dyDescent="0.2">
      <c r="A741" s="19">
        <v>756</v>
      </c>
      <c r="B741" s="167" t="s">
        <v>2041</v>
      </c>
      <c r="C741" t="s">
        <v>2077</v>
      </c>
      <c r="D741" t="s">
        <v>1030</v>
      </c>
      <c r="E741" t="s">
        <v>2274</v>
      </c>
      <c r="F741" t="s">
        <v>2467</v>
      </c>
      <c r="G741" t="s">
        <v>1257</v>
      </c>
      <c r="H741" t="s">
        <v>3830</v>
      </c>
      <c r="I741">
        <v>2457</v>
      </c>
      <c r="J741" t="s">
        <v>3641</v>
      </c>
      <c r="K741">
        <v>2923</v>
      </c>
      <c r="L741" t="s">
        <v>2962</v>
      </c>
      <c r="M741" s="1086">
        <v>1243603.04</v>
      </c>
      <c r="N741" s="1086">
        <v>1398479.98</v>
      </c>
      <c r="O741" s="1086">
        <v>0</v>
      </c>
      <c r="P741" s="1086">
        <v>964521.85</v>
      </c>
      <c r="Q741" s="1086">
        <v>0</v>
      </c>
      <c r="R741" s="1086">
        <v>0</v>
      </c>
      <c r="S741" s="1086">
        <v>4873.5</v>
      </c>
      <c r="T741" s="1086">
        <v>286018.92</v>
      </c>
      <c r="U741" s="1086">
        <v>151168.43</v>
      </c>
      <c r="V741" s="1086">
        <v>0</v>
      </c>
      <c r="W741" s="1086">
        <v>0</v>
      </c>
      <c r="X741" s="1086">
        <v>2481.15</v>
      </c>
      <c r="Y741" s="1086">
        <v>-750</v>
      </c>
      <c r="Z741" s="1086">
        <v>0</v>
      </c>
      <c r="AA741" s="1086">
        <v>48127.74</v>
      </c>
      <c r="AB741" s="1086">
        <v>0</v>
      </c>
      <c r="AC741" s="1086">
        <v>1185641.43</v>
      </c>
      <c r="AD741" s="1086" t="s">
        <v>248</v>
      </c>
      <c r="AE741" s="1086" t="s">
        <v>3877</v>
      </c>
      <c r="AF741" s="1086">
        <f t="shared" si="45"/>
        <v>1185641.4300000002</v>
      </c>
      <c r="AG741" s="1086">
        <f t="shared" si="44"/>
        <v>0</v>
      </c>
      <c r="AQ741" s="1086">
        <v>0</v>
      </c>
      <c r="AR741" s="1086">
        <v>0</v>
      </c>
      <c r="AS741" s="1086">
        <v>1185641.43</v>
      </c>
      <c r="AT741" s="1086">
        <f t="shared" si="46"/>
        <v>0</v>
      </c>
      <c r="AV741" s="1150">
        <f t="shared" si="47"/>
        <v>1456441.5899999999</v>
      </c>
    </row>
    <row r="742" spans="1:48" x14ac:dyDescent="0.2">
      <c r="A742" s="19">
        <v>757</v>
      </c>
      <c r="B742" t="s">
        <v>2042</v>
      </c>
      <c r="C742" t="s">
        <v>2077</v>
      </c>
      <c r="D742" t="s">
        <v>1060</v>
      </c>
      <c r="E742" t="s">
        <v>2275</v>
      </c>
      <c r="F742" t="s">
        <v>2468</v>
      </c>
      <c r="G742" t="s">
        <v>1257</v>
      </c>
      <c r="H742" t="s">
        <v>3830</v>
      </c>
      <c r="I742" t="s">
        <v>3847</v>
      </c>
      <c r="J742" t="s">
        <v>3789</v>
      </c>
      <c r="K742" t="s">
        <v>3795</v>
      </c>
      <c r="L742" t="s">
        <v>2963</v>
      </c>
      <c r="M742" s="1086">
        <v>2581178.0499999998</v>
      </c>
      <c r="N742" s="1086">
        <v>17880697.420000002</v>
      </c>
      <c r="O742" s="1086">
        <v>1114806.74</v>
      </c>
      <c r="P742" s="1086">
        <v>661478.47</v>
      </c>
      <c r="Q742" s="1086">
        <v>20250</v>
      </c>
      <c r="R742" s="1086">
        <v>86057.31</v>
      </c>
      <c r="S742" s="1086">
        <v>122989.11</v>
      </c>
      <c r="T742" s="1086">
        <v>242146.73</v>
      </c>
      <c r="U742" s="1086">
        <v>9326763.1099999994</v>
      </c>
      <c r="V742" s="1086">
        <v>0</v>
      </c>
      <c r="W742" s="1086">
        <v>37577.589999999997</v>
      </c>
      <c r="X742" s="1086">
        <v>42267.79</v>
      </c>
      <c r="Y742" s="1086">
        <v>0</v>
      </c>
      <c r="Z742" s="1086">
        <v>0</v>
      </c>
      <c r="AA742" s="1086">
        <v>6509969.04</v>
      </c>
      <c r="AB742" s="1086">
        <v>2178437.5</v>
      </c>
      <c r="AC742" s="1086">
        <v>2348745.56</v>
      </c>
      <c r="AD742" s="1086" t="s">
        <v>248</v>
      </c>
      <c r="AE742" s="1086" t="s">
        <v>3877</v>
      </c>
      <c r="AF742" s="1086">
        <f t="shared" si="45"/>
        <v>2348745.5600000024</v>
      </c>
      <c r="AG742" s="1086">
        <f t="shared" si="44"/>
        <v>0</v>
      </c>
      <c r="AQ742" s="1086">
        <v>0</v>
      </c>
      <c r="AR742" s="1086">
        <v>0</v>
      </c>
      <c r="AS742" s="1086">
        <v>2348745.56</v>
      </c>
      <c r="AT742" s="1086">
        <f t="shared" si="46"/>
        <v>0</v>
      </c>
      <c r="AV742" s="1150">
        <f t="shared" si="47"/>
        <v>19227936.649999999</v>
      </c>
    </row>
    <row r="743" spans="1:48" x14ac:dyDescent="0.2">
      <c r="A743" s="19">
        <v>758</v>
      </c>
      <c r="B743" t="s">
        <v>2043</v>
      </c>
      <c r="C743" t="s">
        <v>2077</v>
      </c>
      <c r="D743" t="s">
        <v>1060</v>
      </c>
      <c r="E743" t="s">
        <v>2275</v>
      </c>
      <c r="F743" t="s">
        <v>2468</v>
      </c>
      <c r="G743" t="s">
        <v>1257</v>
      </c>
      <c r="H743" t="s">
        <v>3830</v>
      </c>
      <c r="I743" t="s">
        <v>3847</v>
      </c>
      <c r="J743" t="s">
        <v>3789</v>
      </c>
      <c r="K743" t="s">
        <v>3796</v>
      </c>
      <c r="L743" t="s">
        <v>2964</v>
      </c>
      <c r="M743" s="1086">
        <v>35825.46</v>
      </c>
      <c r="N743" s="1086">
        <v>0</v>
      </c>
      <c r="O743" s="1086">
        <v>5554542.7800000003</v>
      </c>
      <c r="P743" s="1086">
        <v>0</v>
      </c>
      <c r="Q743" s="1086">
        <v>0</v>
      </c>
      <c r="R743" s="1086">
        <v>0</v>
      </c>
      <c r="S743" s="1086">
        <v>0</v>
      </c>
      <c r="T743" s="1086">
        <v>0</v>
      </c>
      <c r="U743" s="1086">
        <v>3518208.38</v>
      </c>
      <c r="V743" s="1086">
        <v>0</v>
      </c>
      <c r="W743" s="1086">
        <v>0</v>
      </c>
      <c r="X743" s="1086">
        <v>673.26</v>
      </c>
      <c r="Y743" s="1086">
        <v>-1200</v>
      </c>
      <c r="Z743" s="1086">
        <v>0</v>
      </c>
      <c r="AA743" s="1086">
        <v>1869277.88</v>
      </c>
      <c r="AB743" s="1086">
        <v>0</v>
      </c>
      <c r="AC743" s="1086">
        <v>203408.72</v>
      </c>
      <c r="AD743" s="1086" t="s">
        <v>248</v>
      </c>
      <c r="AE743" s="1086" t="s">
        <v>3877</v>
      </c>
      <c r="AF743" s="1086">
        <f t="shared" si="45"/>
        <v>203408.72000000067</v>
      </c>
      <c r="AG743" s="1086">
        <f t="shared" si="44"/>
        <v>-6.6938810050487518E-10</v>
      </c>
      <c r="AQ743" s="1086">
        <v>0</v>
      </c>
      <c r="AR743" s="1086">
        <v>0</v>
      </c>
      <c r="AS743" s="1086">
        <v>203408.72</v>
      </c>
      <c r="AT743" s="1086">
        <f t="shared" si="46"/>
        <v>0</v>
      </c>
      <c r="AV743" s="1150">
        <f t="shared" si="47"/>
        <v>5386959.5199999996</v>
      </c>
    </row>
    <row r="744" spans="1:48" x14ac:dyDescent="0.2">
      <c r="A744" s="19">
        <v>759</v>
      </c>
      <c r="B744" t="s">
        <v>2044</v>
      </c>
      <c r="C744" t="s">
        <v>2078</v>
      </c>
      <c r="D744" t="s">
        <v>1057</v>
      </c>
      <c r="E744" t="s">
        <v>2278</v>
      </c>
      <c r="F744" t="s">
        <v>2471</v>
      </c>
      <c r="G744" t="s">
        <v>3797</v>
      </c>
      <c r="H744" t="s">
        <v>3830</v>
      </c>
      <c r="I744" t="s">
        <v>3848</v>
      </c>
      <c r="J744" t="s">
        <v>3798</v>
      </c>
      <c r="K744" t="s">
        <v>3799</v>
      </c>
      <c r="L744" t="s">
        <v>2965</v>
      </c>
      <c r="M744" s="1086">
        <v>-552757.06000000006</v>
      </c>
      <c r="N744" s="1086">
        <v>417.8</v>
      </c>
      <c r="O744" s="1086">
        <v>0</v>
      </c>
      <c r="P744" s="1086">
        <v>0</v>
      </c>
      <c r="Q744" s="1086">
        <v>0</v>
      </c>
      <c r="R744" s="1086">
        <v>0</v>
      </c>
      <c r="S744" s="1086">
        <v>55742.15</v>
      </c>
      <c r="T744" s="1086">
        <v>1751.58</v>
      </c>
      <c r="U744" s="1086">
        <v>54358.8</v>
      </c>
      <c r="V744" s="1086">
        <v>0</v>
      </c>
      <c r="W744" s="1086">
        <v>0</v>
      </c>
      <c r="X744" s="1086">
        <v>0</v>
      </c>
      <c r="Y744" s="1086">
        <v>0</v>
      </c>
      <c r="Z744" s="1086">
        <v>0</v>
      </c>
      <c r="AA744" s="1086">
        <v>18.82</v>
      </c>
      <c r="AB744" s="1086">
        <v>0</v>
      </c>
      <c r="AC744" s="1086">
        <v>-664210.61</v>
      </c>
      <c r="AD744" s="1086" t="s">
        <v>248</v>
      </c>
      <c r="AE744" s="1086" t="s">
        <v>3877</v>
      </c>
      <c r="AF744" s="1086">
        <f t="shared" si="45"/>
        <v>-664210.61</v>
      </c>
      <c r="AG744" s="1086">
        <f t="shared" si="44"/>
        <v>0</v>
      </c>
      <c r="AQ744" s="1086">
        <v>0</v>
      </c>
      <c r="AR744" s="1086">
        <v>0</v>
      </c>
      <c r="AS744" s="1086">
        <v>-664210.61</v>
      </c>
      <c r="AT744" s="1086">
        <f t="shared" si="46"/>
        <v>0</v>
      </c>
      <c r="AV744" s="1150">
        <f t="shared" si="47"/>
        <v>111871.35</v>
      </c>
    </row>
    <row r="745" spans="1:48" x14ac:dyDescent="0.2">
      <c r="A745" s="19">
        <v>760</v>
      </c>
      <c r="B745" t="s">
        <v>2045</v>
      </c>
      <c r="C745" t="s">
        <v>2078</v>
      </c>
      <c r="D745" t="s">
        <v>1057</v>
      </c>
      <c r="E745" t="s">
        <v>2278</v>
      </c>
      <c r="F745" t="s">
        <v>2471</v>
      </c>
      <c r="G745" t="s">
        <v>3797</v>
      </c>
      <c r="H745" t="s">
        <v>3830</v>
      </c>
      <c r="I745" t="s">
        <v>3848</v>
      </c>
      <c r="J745" t="s">
        <v>3798</v>
      </c>
      <c r="K745" t="s">
        <v>3800</v>
      </c>
      <c r="L745" t="s">
        <v>2966</v>
      </c>
      <c r="M745" s="1086">
        <v>0</v>
      </c>
      <c r="N745" s="1086">
        <v>1444119</v>
      </c>
      <c r="O745" s="1086">
        <v>0</v>
      </c>
      <c r="P745" s="1086">
        <v>0</v>
      </c>
      <c r="Q745" s="1086">
        <v>0</v>
      </c>
      <c r="R745" s="1086">
        <v>0</v>
      </c>
      <c r="S745" s="1086">
        <v>0</v>
      </c>
      <c r="T745" s="1086">
        <v>0</v>
      </c>
      <c r="U745" s="1086">
        <v>1189844.6200000001</v>
      </c>
      <c r="V745" s="1086">
        <v>0</v>
      </c>
      <c r="W745" s="1086">
        <v>0</v>
      </c>
      <c r="X745" s="1086">
        <v>0</v>
      </c>
      <c r="Y745" s="1086">
        <v>0</v>
      </c>
      <c r="Z745" s="1086">
        <v>0</v>
      </c>
      <c r="AA745" s="1086">
        <v>17500</v>
      </c>
      <c r="AB745" s="1086">
        <v>0</v>
      </c>
      <c r="AC745" s="1086">
        <v>236774.38</v>
      </c>
      <c r="AD745" s="1086" t="s">
        <v>248</v>
      </c>
      <c r="AE745" s="1086" t="s">
        <v>3877</v>
      </c>
      <c r="AF745" s="1086">
        <f t="shared" si="45"/>
        <v>236774.37999999989</v>
      </c>
      <c r="AG745" s="1086">
        <f t="shared" si="44"/>
        <v>0</v>
      </c>
      <c r="AQ745" s="1086">
        <v>0</v>
      </c>
      <c r="AR745" s="1086">
        <v>0</v>
      </c>
      <c r="AS745" s="1086">
        <v>236774.38</v>
      </c>
      <c r="AT745" s="1086">
        <f t="shared" si="46"/>
        <v>0</v>
      </c>
      <c r="AV745" s="1150">
        <f t="shared" si="47"/>
        <v>1207344.6200000001</v>
      </c>
    </row>
    <row r="746" spans="1:48" x14ac:dyDescent="0.2">
      <c r="A746" s="19">
        <v>761</v>
      </c>
      <c r="B746" t="s">
        <v>2046</v>
      </c>
      <c r="C746" t="s">
        <v>2078</v>
      </c>
      <c r="D746" t="s">
        <v>1057</v>
      </c>
      <c r="E746" t="s">
        <v>2278</v>
      </c>
      <c r="F746" t="s">
        <v>2471</v>
      </c>
      <c r="G746" t="s">
        <v>3797</v>
      </c>
      <c r="H746" t="s">
        <v>3830</v>
      </c>
      <c r="I746" t="s">
        <v>3848</v>
      </c>
      <c r="J746" t="s">
        <v>3798</v>
      </c>
      <c r="K746" t="s">
        <v>3801</v>
      </c>
      <c r="L746" t="s">
        <v>2967</v>
      </c>
      <c r="M746" s="1086">
        <v>-2776162.84</v>
      </c>
      <c r="N746" s="1086">
        <v>354</v>
      </c>
      <c r="O746" s="1086">
        <v>0</v>
      </c>
      <c r="P746" s="1086">
        <v>0</v>
      </c>
      <c r="Q746" s="1086">
        <v>0</v>
      </c>
      <c r="R746" s="1086">
        <v>438562.52</v>
      </c>
      <c r="S746" s="1086">
        <v>393262.53</v>
      </c>
      <c r="T746" s="1086">
        <v>164119.07</v>
      </c>
      <c r="U746" s="1086">
        <v>1342179.9</v>
      </c>
      <c r="V746" s="1086">
        <v>0</v>
      </c>
      <c r="W746" s="1086">
        <v>0</v>
      </c>
      <c r="X746" s="1086">
        <v>0</v>
      </c>
      <c r="Y746" s="1086">
        <v>0</v>
      </c>
      <c r="Z746" s="1086">
        <v>0</v>
      </c>
      <c r="AA746" s="1086">
        <v>381729.72</v>
      </c>
      <c r="AB746" s="1086">
        <v>0</v>
      </c>
      <c r="AC746" s="1086">
        <v>-5495662.5800000001</v>
      </c>
      <c r="AD746" s="1086" t="s">
        <v>248</v>
      </c>
      <c r="AE746" s="1086" t="s">
        <v>3877</v>
      </c>
      <c r="AF746" s="1086">
        <f t="shared" si="45"/>
        <v>-5495662.5800000001</v>
      </c>
      <c r="AG746" s="1086">
        <f t="shared" si="44"/>
        <v>0</v>
      </c>
      <c r="AQ746" s="1086">
        <v>0</v>
      </c>
      <c r="AR746" s="1086">
        <v>0</v>
      </c>
      <c r="AS746" s="1086">
        <v>-5495662.5800000001</v>
      </c>
      <c r="AT746" s="1086">
        <f t="shared" si="46"/>
        <v>0</v>
      </c>
      <c r="AV746" s="1150">
        <f t="shared" si="47"/>
        <v>2719853.74</v>
      </c>
    </row>
    <row r="747" spans="1:48" x14ac:dyDescent="0.2">
      <c r="A747" s="19">
        <v>762</v>
      </c>
      <c r="B747" t="s">
        <v>2047</v>
      </c>
      <c r="C747" t="s">
        <v>2078</v>
      </c>
      <c r="D747" t="s">
        <v>1047</v>
      </c>
      <c r="E747" t="s">
        <v>2279</v>
      </c>
      <c r="F747" t="s">
        <v>2479</v>
      </c>
      <c r="G747" t="s">
        <v>3797</v>
      </c>
      <c r="H747" t="s">
        <v>3830</v>
      </c>
      <c r="I747" t="s">
        <v>3848</v>
      </c>
      <c r="J747" t="s">
        <v>3802</v>
      </c>
      <c r="K747" t="s">
        <v>3803</v>
      </c>
      <c r="L747" t="s">
        <v>2472</v>
      </c>
      <c r="M747" s="1086">
        <v>94581.68</v>
      </c>
      <c r="N747" s="1086">
        <v>103850</v>
      </c>
      <c r="O747" s="1086">
        <v>50000</v>
      </c>
      <c r="P747" s="1086">
        <v>36200.04</v>
      </c>
      <c r="Q747" s="1086">
        <v>0</v>
      </c>
      <c r="R747" s="1086">
        <v>0</v>
      </c>
      <c r="S747" s="1086">
        <v>0</v>
      </c>
      <c r="T747" s="1086">
        <v>2972.21</v>
      </c>
      <c r="U747" s="1086">
        <v>41139.879999999997</v>
      </c>
      <c r="V747" s="1086">
        <v>0</v>
      </c>
      <c r="W747" s="1086">
        <v>6000</v>
      </c>
      <c r="X747" s="1086">
        <v>24093.16</v>
      </c>
      <c r="Y747" s="1086">
        <v>0</v>
      </c>
      <c r="Z747" s="1086">
        <v>47555.9</v>
      </c>
      <c r="AA747" s="1086">
        <v>3638.25</v>
      </c>
      <c r="AB747" s="1086">
        <v>0</v>
      </c>
      <c r="AC747" s="1086">
        <v>86832.24</v>
      </c>
      <c r="AD747" s="1086" t="s">
        <v>248</v>
      </c>
      <c r="AE747" s="1086" t="s">
        <v>3877</v>
      </c>
      <c r="AF747" s="1086">
        <f t="shared" si="45"/>
        <v>86832.239999999991</v>
      </c>
      <c r="AG747" s="1086">
        <f t="shared" si="44"/>
        <v>0</v>
      </c>
      <c r="AQ747" s="1086">
        <v>0</v>
      </c>
      <c r="AR747" s="1086">
        <v>0</v>
      </c>
      <c r="AS747" s="1086">
        <v>84712.25</v>
      </c>
      <c r="AT747" s="1086">
        <f t="shared" si="46"/>
        <v>2119.9900000000052</v>
      </c>
      <c r="AU747" s="167" t="s">
        <v>3912</v>
      </c>
      <c r="AV747" s="1150">
        <f t="shared" si="47"/>
        <v>161599.44</v>
      </c>
    </row>
    <row r="748" spans="1:48" x14ac:dyDescent="0.2">
      <c r="A748" s="19">
        <v>763</v>
      </c>
      <c r="B748" t="s">
        <v>2048</v>
      </c>
      <c r="C748" t="s">
        <v>2078</v>
      </c>
      <c r="D748" t="s">
        <v>1057</v>
      </c>
      <c r="E748" t="s">
        <v>2280</v>
      </c>
      <c r="F748" t="s">
        <v>2473</v>
      </c>
      <c r="G748" t="s">
        <v>3797</v>
      </c>
      <c r="H748" t="s">
        <v>3830</v>
      </c>
      <c r="I748" t="s">
        <v>3848</v>
      </c>
      <c r="J748" t="s">
        <v>3798</v>
      </c>
      <c r="K748" t="s">
        <v>3804</v>
      </c>
      <c r="L748" t="s">
        <v>2968</v>
      </c>
      <c r="M748" s="1086">
        <v>3281367.44</v>
      </c>
      <c r="N748" s="1086">
        <v>3885573</v>
      </c>
      <c r="O748" s="1086">
        <v>3942.28</v>
      </c>
      <c r="P748" s="1086">
        <v>133329.66</v>
      </c>
      <c r="Q748" s="1086">
        <v>0</v>
      </c>
      <c r="R748" s="1086">
        <v>0</v>
      </c>
      <c r="S748" s="1086">
        <v>0</v>
      </c>
      <c r="T748" s="1086">
        <v>43490.59</v>
      </c>
      <c r="U748" s="1086">
        <v>169463</v>
      </c>
      <c r="V748" s="1086">
        <v>0</v>
      </c>
      <c r="W748" s="1086">
        <v>86862.79</v>
      </c>
      <c r="X748" s="1086">
        <v>0</v>
      </c>
      <c r="Y748" s="1086">
        <v>0</v>
      </c>
      <c r="Z748" s="1086">
        <v>0</v>
      </c>
      <c r="AA748" s="1086">
        <v>130192.12</v>
      </c>
      <c r="AB748" s="1086">
        <v>0</v>
      </c>
      <c r="AC748" s="1086">
        <v>6607544.5599999996</v>
      </c>
      <c r="AD748" s="1086" t="s">
        <v>248</v>
      </c>
      <c r="AE748" s="1086" t="s">
        <v>3877</v>
      </c>
      <c r="AF748" s="1086">
        <f t="shared" si="45"/>
        <v>6607544.5599999996</v>
      </c>
      <c r="AG748" s="1086">
        <f t="shared" si="44"/>
        <v>0</v>
      </c>
      <c r="AQ748" s="1086">
        <v>0</v>
      </c>
      <c r="AR748" s="1086">
        <v>0</v>
      </c>
      <c r="AS748" s="1086">
        <v>6607544.5599999996</v>
      </c>
      <c r="AT748" s="1086">
        <f t="shared" si="46"/>
        <v>0</v>
      </c>
      <c r="AV748" s="1150">
        <f t="shared" si="47"/>
        <v>563338.15999999992</v>
      </c>
    </row>
    <row r="749" spans="1:48" x14ac:dyDescent="0.2">
      <c r="A749" s="19">
        <v>764</v>
      </c>
      <c r="B749" t="s">
        <v>2049</v>
      </c>
      <c r="C749" t="s">
        <v>2078</v>
      </c>
      <c r="D749" t="s">
        <v>1057</v>
      </c>
      <c r="E749" t="s">
        <v>2280</v>
      </c>
      <c r="F749" t="s">
        <v>2473</v>
      </c>
      <c r="G749" t="s">
        <v>3797</v>
      </c>
      <c r="H749" t="s">
        <v>3830</v>
      </c>
      <c r="I749" t="s">
        <v>3848</v>
      </c>
      <c r="J749" t="s">
        <v>3798</v>
      </c>
      <c r="K749" t="s">
        <v>3805</v>
      </c>
      <c r="L749" t="s">
        <v>2969</v>
      </c>
      <c r="M749" s="1086">
        <v>3035717.51</v>
      </c>
      <c r="N749" s="1086">
        <v>74646</v>
      </c>
      <c r="O749" s="1086">
        <v>0</v>
      </c>
      <c r="P749" s="1086">
        <v>0</v>
      </c>
      <c r="Q749" s="1086">
        <v>0</v>
      </c>
      <c r="R749" s="1086">
        <v>0</v>
      </c>
      <c r="S749" s="1086">
        <v>0</v>
      </c>
      <c r="T749" s="1086">
        <v>1606089.82</v>
      </c>
      <c r="U749" s="1086">
        <v>255463.69</v>
      </c>
      <c r="V749" s="1086">
        <v>0</v>
      </c>
      <c r="W749" s="1086">
        <v>0</v>
      </c>
      <c r="X749" s="1086">
        <v>0</v>
      </c>
      <c r="Y749" s="1086">
        <v>0</v>
      </c>
      <c r="Z749" s="1086">
        <v>0</v>
      </c>
      <c r="AA749" s="1086">
        <v>537947</v>
      </c>
      <c r="AB749" s="1086">
        <v>2480289.56</v>
      </c>
      <c r="AC749" s="1086">
        <v>-1769426.56</v>
      </c>
      <c r="AD749" s="1086" t="s">
        <v>248</v>
      </c>
      <c r="AE749" s="1086" t="s">
        <v>3877</v>
      </c>
      <c r="AF749" s="1086">
        <f t="shared" si="45"/>
        <v>-1769426.5600000005</v>
      </c>
      <c r="AG749" s="1086">
        <f t="shared" si="44"/>
        <v>0</v>
      </c>
      <c r="AQ749" s="1086">
        <v>0</v>
      </c>
      <c r="AR749" s="1086">
        <v>0</v>
      </c>
      <c r="AS749" s="1086">
        <v>-1769426.56</v>
      </c>
      <c r="AT749" s="1086">
        <f t="shared" si="46"/>
        <v>0</v>
      </c>
      <c r="AV749" s="1150">
        <f t="shared" si="47"/>
        <v>4879790.07</v>
      </c>
    </row>
    <row r="750" spans="1:48" x14ac:dyDescent="0.2">
      <c r="A750" s="19">
        <v>765</v>
      </c>
      <c r="B750" t="s">
        <v>2050</v>
      </c>
      <c r="C750" t="s">
        <v>2078</v>
      </c>
      <c r="D750" t="s">
        <v>1057</v>
      </c>
      <c r="E750" t="s">
        <v>2280</v>
      </c>
      <c r="F750" t="s">
        <v>2473</v>
      </c>
      <c r="G750" t="s">
        <v>3797</v>
      </c>
      <c r="H750" t="s">
        <v>3830</v>
      </c>
      <c r="I750" t="s">
        <v>3848</v>
      </c>
      <c r="J750" t="s">
        <v>3798</v>
      </c>
      <c r="K750" t="s">
        <v>3806</v>
      </c>
      <c r="L750" t="s">
        <v>2970</v>
      </c>
      <c r="M750" s="1086">
        <v>-469733.02</v>
      </c>
      <c r="N750" s="1086">
        <v>265865.75</v>
      </c>
      <c r="O750" s="1086">
        <v>0</v>
      </c>
      <c r="P750" s="1086">
        <v>133972.82</v>
      </c>
      <c r="Q750" s="1086">
        <v>0</v>
      </c>
      <c r="R750" s="1086">
        <v>166289.32</v>
      </c>
      <c r="S750" s="1086">
        <v>62451.65</v>
      </c>
      <c r="T750" s="1086">
        <v>93168.75</v>
      </c>
      <c r="U750" s="1086">
        <v>231483.4</v>
      </c>
      <c r="V750" s="1086">
        <v>0</v>
      </c>
      <c r="W750" s="1086">
        <v>456</v>
      </c>
      <c r="X750" s="1086">
        <v>0</v>
      </c>
      <c r="Y750" s="1086">
        <v>0</v>
      </c>
      <c r="Z750" s="1086">
        <v>0</v>
      </c>
      <c r="AA750" s="1086">
        <v>9792.67</v>
      </c>
      <c r="AB750" s="1086">
        <v>0</v>
      </c>
      <c r="AC750" s="1086">
        <v>-901481.88</v>
      </c>
      <c r="AD750" s="1086" t="s">
        <v>248</v>
      </c>
      <c r="AE750" s="1086" t="s">
        <v>3877</v>
      </c>
      <c r="AF750" s="1086">
        <f t="shared" si="45"/>
        <v>-901481.88000000012</v>
      </c>
      <c r="AG750" s="1086">
        <f t="shared" si="44"/>
        <v>0</v>
      </c>
      <c r="AQ750" s="1086">
        <v>0</v>
      </c>
      <c r="AR750" s="1086">
        <v>0</v>
      </c>
      <c r="AS750" s="1086">
        <v>-901481.88</v>
      </c>
      <c r="AT750" s="1086">
        <f t="shared" si="46"/>
        <v>0</v>
      </c>
      <c r="AV750" s="1150">
        <f t="shared" si="47"/>
        <v>697614.6100000001</v>
      </c>
    </row>
    <row r="751" spans="1:48" x14ac:dyDescent="0.2">
      <c r="A751" s="19">
        <v>766</v>
      </c>
      <c r="B751" t="s">
        <v>2051</v>
      </c>
      <c r="C751" t="s">
        <v>2078</v>
      </c>
      <c r="D751" t="s">
        <v>1057</v>
      </c>
      <c r="E751" t="s">
        <v>2280</v>
      </c>
      <c r="F751" t="s">
        <v>2473</v>
      </c>
      <c r="G751" t="s">
        <v>3797</v>
      </c>
      <c r="H751" t="s">
        <v>3830</v>
      </c>
      <c r="I751" t="s">
        <v>3848</v>
      </c>
      <c r="J751" t="s">
        <v>3798</v>
      </c>
      <c r="K751" t="s">
        <v>3807</v>
      </c>
      <c r="L751" t="s">
        <v>2971</v>
      </c>
      <c r="M751" s="1086">
        <v>-663836.57999999996</v>
      </c>
      <c r="N751" s="1086">
        <v>40077.550000000003</v>
      </c>
      <c r="O751" s="1086">
        <v>0</v>
      </c>
      <c r="P751" s="1086">
        <v>85772.15</v>
      </c>
      <c r="Q751" s="1086">
        <v>0</v>
      </c>
      <c r="R751" s="1086">
        <v>45939.1</v>
      </c>
      <c r="S751" s="1086">
        <v>0</v>
      </c>
      <c r="T751" s="1086">
        <v>61656.01</v>
      </c>
      <c r="U751" s="1086">
        <v>477635.57</v>
      </c>
      <c r="V751" s="1086">
        <v>0</v>
      </c>
      <c r="W751" s="1086">
        <v>0</v>
      </c>
      <c r="X751" s="1086">
        <v>0</v>
      </c>
      <c r="Y751" s="1086">
        <v>0</v>
      </c>
      <c r="Z751" s="1086">
        <v>0</v>
      </c>
      <c r="AA751" s="1086">
        <v>1402.71</v>
      </c>
      <c r="AB751" s="1086">
        <v>0</v>
      </c>
      <c r="AC751" s="1086">
        <v>-1296164.57</v>
      </c>
      <c r="AD751" s="1086" t="s">
        <v>248</v>
      </c>
      <c r="AE751" s="1086" t="s">
        <v>3877</v>
      </c>
      <c r="AF751" s="1086">
        <f t="shared" si="45"/>
        <v>-1296164.5699999998</v>
      </c>
      <c r="AG751" s="1086">
        <f t="shared" si="44"/>
        <v>0</v>
      </c>
      <c r="AQ751" s="1086">
        <v>0</v>
      </c>
      <c r="AR751" s="1086">
        <v>0</v>
      </c>
      <c r="AS751" s="1086">
        <v>-1296164.57</v>
      </c>
      <c r="AT751" s="1086">
        <f t="shared" si="46"/>
        <v>0</v>
      </c>
      <c r="AV751" s="1150">
        <f t="shared" si="47"/>
        <v>672405.54</v>
      </c>
    </row>
    <row r="752" spans="1:48" x14ac:dyDescent="0.2">
      <c r="A752" s="19">
        <v>767</v>
      </c>
      <c r="B752" t="s">
        <v>2052</v>
      </c>
      <c r="C752" t="s">
        <v>2078</v>
      </c>
      <c r="D752" t="s">
        <v>1057</v>
      </c>
      <c r="E752" t="s">
        <v>2280</v>
      </c>
      <c r="F752" t="s">
        <v>2473</v>
      </c>
      <c r="G752" t="s">
        <v>3797</v>
      </c>
      <c r="H752" t="s">
        <v>3830</v>
      </c>
      <c r="I752" t="s">
        <v>3848</v>
      </c>
      <c r="J752" t="s">
        <v>3798</v>
      </c>
      <c r="K752" t="s">
        <v>3808</v>
      </c>
      <c r="L752" t="s">
        <v>2972</v>
      </c>
      <c r="M752" s="1086">
        <v>-562034.43000000005</v>
      </c>
      <c r="N752" s="1086">
        <v>206</v>
      </c>
      <c r="O752" s="1086">
        <v>0</v>
      </c>
      <c r="P752" s="1086">
        <v>89389.51</v>
      </c>
      <c r="Q752" s="1086">
        <v>0</v>
      </c>
      <c r="R752" s="1086">
        <v>265093.56</v>
      </c>
      <c r="S752" s="1086">
        <v>58906.68</v>
      </c>
      <c r="T752" s="1086">
        <v>133713.37</v>
      </c>
      <c r="U752" s="1086">
        <v>39901.35</v>
      </c>
      <c r="V752" s="1086">
        <v>0</v>
      </c>
      <c r="W752" s="1086">
        <v>480</v>
      </c>
      <c r="X752" s="1086">
        <v>0</v>
      </c>
      <c r="Y752" s="1086">
        <v>0</v>
      </c>
      <c r="Z752" s="1086">
        <v>0</v>
      </c>
      <c r="AA752" s="1086">
        <v>7.21</v>
      </c>
      <c r="AB752" s="1086">
        <v>0</v>
      </c>
      <c r="AC752" s="1086">
        <v>-1149320.1100000001</v>
      </c>
      <c r="AD752" s="1086" t="s">
        <v>248</v>
      </c>
      <c r="AE752" s="1086" t="s">
        <v>3877</v>
      </c>
      <c r="AF752" s="1086">
        <f t="shared" si="45"/>
        <v>-1149320.1099999999</v>
      </c>
      <c r="AG752" s="1086">
        <f t="shared" si="44"/>
        <v>0</v>
      </c>
      <c r="AQ752" s="1086">
        <v>0</v>
      </c>
      <c r="AR752" s="1086">
        <v>0</v>
      </c>
      <c r="AS752" s="1086">
        <v>-1149320.1100000001</v>
      </c>
      <c r="AT752" s="1086">
        <f t="shared" si="46"/>
        <v>0</v>
      </c>
      <c r="AV752" s="1150">
        <f t="shared" si="47"/>
        <v>587491.67999999993</v>
      </c>
    </row>
    <row r="753" spans="1:48" x14ac:dyDescent="0.2">
      <c r="A753" s="19">
        <v>768</v>
      </c>
      <c r="B753" t="s">
        <v>2053</v>
      </c>
      <c r="C753" t="s">
        <v>2078</v>
      </c>
      <c r="D753" t="s">
        <v>1057</v>
      </c>
      <c r="E753" t="s">
        <v>2280</v>
      </c>
      <c r="F753" t="s">
        <v>2473</v>
      </c>
      <c r="G753" t="s">
        <v>3797</v>
      </c>
      <c r="H753" t="s">
        <v>3830</v>
      </c>
      <c r="I753" t="s">
        <v>3848</v>
      </c>
      <c r="J753" t="s">
        <v>3798</v>
      </c>
      <c r="K753" t="s">
        <v>3809</v>
      </c>
      <c r="L753" t="s">
        <v>2973</v>
      </c>
      <c r="M753" s="1086">
        <v>-24010.54</v>
      </c>
      <c r="N753" s="1086">
        <v>0</v>
      </c>
      <c r="O753" s="1086">
        <v>0</v>
      </c>
      <c r="P753" s="1086">
        <v>0</v>
      </c>
      <c r="Q753" s="1086">
        <v>0</v>
      </c>
      <c r="R753" s="1086">
        <v>0</v>
      </c>
      <c r="S753" s="1086">
        <v>14364.15</v>
      </c>
      <c r="T753" s="1086">
        <v>448.63</v>
      </c>
      <c r="U753" s="1086">
        <v>8594.4500000000007</v>
      </c>
      <c r="V753" s="1086">
        <v>0</v>
      </c>
      <c r="W753" s="1086">
        <v>0</v>
      </c>
      <c r="X753" s="1086">
        <v>0</v>
      </c>
      <c r="Y753" s="1086">
        <v>0</v>
      </c>
      <c r="Z753" s="1086">
        <v>0</v>
      </c>
      <c r="AA753" s="1086">
        <v>0</v>
      </c>
      <c r="AB753" s="1086">
        <v>0</v>
      </c>
      <c r="AC753" s="1086">
        <v>-47417.77</v>
      </c>
      <c r="AD753" s="1086" t="s">
        <v>248</v>
      </c>
      <c r="AE753" s="1086" t="s">
        <v>3877</v>
      </c>
      <c r="AF753" s="1086">
        <f t="shared" si="45"/>
        <v>-47417.770000000004</v>
      </c>
      <c r="AG753" s="1086">
        <f t="shared" si="44"/>
        <v>0</v>
      </c>
      <c r="AQ753" s="1086">
        <v>0</v>
      </c>
      <c r="AR753" s="1086">
        <v>0</v>
      </c>
      <c r="AS753" s="1086">
        <v>-47417.77</v>
      </c>
      <c r="AT753" s="1086">
        <f t="shared" si="46"/>
        <v>0</v>
      </c>
      <c r="AV753" s="1150">
        <f t="shared" si="47"/>
        <v>23407.23</v>
      </c>
    </row>
    <row r="754" spans="1:48" x14ac:dyDescent="0.2">
      <c r="A754" s="19">
        <v>769</v>
      </c>
      <c r="B754" t="s">
        <v>2054</v>
      </c>
      <c r="C754" t="s">
        <v>2078</v>
      </c>
      <c r="D754" t="s">
        <v>1057</v>
      </c>
      <c r="E754" t="s">
        <v>2280</v>
      </c>
      <c r="F754" t="s">
        <v>2473</v>
      </c>
      <c r="G754" t="s">
        <v>3797</v>
      </c>
      <c r="H754" t="s">
        <v>3830</v>
      </c>
      <c r="I754" t="s">
        <v>3848</v>
      </c>
      <c r="J754" t="s">
        <v>3798</v>
      </c>
      <c r="K754" t="s">
        <v>3810</v>
      </c>
      <c r="L754" t="s">
        <v>2974</v>
      </c>
      <c r="M754" s="1086">
        <v>-280816.98</v>
      </c>
      <c r="N754" s="1086">
        <v>69600</v>
      </c>
      <c r="O754" s="1086">
        <v>0</v>
      </c>
      <c r="P754" s="1086">
        <v>223484.58</v>
      </c>
      <c r="Q754" s="1086">
        <v>0</v>
      </c>
      <c r="R754" s="1086">
        <v>0</v>
      </c>
      <c r="S754" s="1086">
        <v>8048.2</v>
      </c>
      <c r="T754" s="1086">
        <v>60310.42</v>
      </c>
      <c r="U754" s="1086">
        <v>4011.7</v>
      </c>
      <c r="V754" s="1086">
        <v>0</v>
      </c>
      <c r="W754" s="1086">
        <v>0</v>
      </c>
      <c r="X754" s="1086">
        <v>0</v>
      </c>
      <c r="Y754" s="1086">
        <v>0</v>
      </c>
      <c r="Z754" s="1086">
        <v>0</v>
      </c>
      <c r="AA754" s="1086">
        <v>-35</v>
      </c>
      <c r="AB754" s="1086">
        <v>0</v>
      </c>
      <c r="AC754" s="1086">
        <v>-507036.88</v>
      </c>
      <c r="AD754" s="1086" t="s">
        <v>248</v>
      </c>
      <c r="AE754" s="1086" t="s">
        <v>3877</v>
      </c>
      <c r="AF754" s="1086">
        <f t="shared" si="45"/>
        <v>-507036.88</v>
      </c>
      <c r="AG754" s="1086">
        <f t="shared" si="44"/>
        <v>0</v>
      </c>
      <c r="AQ754" s="1086">
        <v>0</v>
      </c>
      <c r="AR754" s="1086">
        <v>0</v>
      </c>
      <c r="AS754" s="1086">
        <v>-507036.88</v>
      </c>
      <c r="AT754" s="1086">
        <f t="shared" si="46"/>
        <v>0</v>
      </c>
      <c r="AV754" s="1150">
        <f t="shared" si="47"/>
        <v>295819.90000000002</v>
      </c>
    </row>
    <row r="755" spans="1:48" x14ac:dyDescent="0.2">
      <c r="A755" s="19">
        <v>770</v>
      </c>
      <c r="B755" t="s">
        <v>2055</v>
      </c>
      <c r="C755" t="s">
        <v>2078</v>
      </c>
      <c r="D755" t="s">
        <v>1057</v>
      </c>
      <c r="E755" t="s">
        <v>2281</v>
      </c>
      <c r="F755" t="s">
        <v>2474</v>
      </c>
      <c r="G755" t="s">
        <v>3797</v>
      </c>
      <c r="H755" t="s">
        <v>3830</v>
      </c>
      <c r="I755" t="s">
        <v>3848</v>
      </c>
      <c r="J755" t="s">
        <v>3798</v>
      </c>
      <c r="K755" t="s">
        <v>3811</v>
      </c>
      <c r="L755" t="s">
        <v>2975</v>
      </c>
      <c r="M755" s="1086">
        <v>96160.51</v>
      </c>
      <c r="N755" s="1086">
        <v>256688.22</v>
      </c>
      <c r="O755" s="1086">
        <v>0</v>
      </c>
      <c r="P755" s="1086">
        <v>55422.46</v>
      </c>
      <c r="Q755" s="1086">
        <v>0</v>
      </c>
      <c r="R755" s="1086">
        <v>2543.31</v>
      </c>
      <c r="S755" s="1086">
        <v>40609.14</v>
      </c>
      <c r="T755" s="1086">
        <v>21639.759999999998</v>
      </c>
      <c r="U755" s="1086">
        <v>20605.62</v>
      </c>
      <c r="V755" s="1086">
        <v>0</v>
      </c>
      <c r="W755" s="1086">
        <v>0</v>
      </c>
      <c r="X755" s="1086">
        <v>0</v>
      </c>
      <c r="Y755" s="1086">
        <v>0</v>
      </c>
      <c r="Z755" s="1086">
        <v>0</v>
      </c>
      <c r="AA755" s="1086">
        <v>8345.42</v>
      </c>
      <c r="AB755" s="1086">
        <v>0</v>
      </c>
      <c r="AC755" s="1086">
        <v>203683.02</v>
      </c>
      <c r="AD755" s="1086" t="s">
        <v>248</v>
      </c>
      <c r="AE755" s="1086" t="s">
        <v>3877</v>
      </c>
      <c r="AF755" s="1086">
        <f t="shared" si="45"/>
        <v>203683.01999999996</v>
      </c>
      <c r="AG755" s="1086">
        <f t="shared" si="44"/>
        <v>0</v>
      </c>
      <c r="AQ755" s="1086">
        <v>0</v>
      </c>
      <c r="AR755" s="1086">
        <v>0</v>
      </c>
      <c r="AS755" s="1086">
        <v>203683.02</v>
      </c>
      <c r="AT755" s="1086">
        <f t="shared" si="46"/>
        <v>0</v>
      </c>
      <c r="AV755" s="1150">
        <f t="shared" si="47"/>
        <v>149165.71000000002</v>
      </c>
    </row>
    <row r="756" spans="1:48" x14ac:dyDescent="0.2">
      <c r="A756" s="19">
        <v>771</v>
      </c>
      <c r="B756" t="s">
        <v>2056</v>
      </c>
      <c r="C756" t="s">
        <v>2078</v>
      </c>
      <c r="D756" t="s">
        <v>1057</v>
      </c>
      <c r="E756" t="s">
        <v>2281</v>
      </c>
      <c r="F756" t="s">
        <v>2474</v>
      </c>
      <c r="G756" t="s">
        <v>3797</v>
      </c>
      <c r="H756" t="s">
        <v>3830</v>
      </c>
      <c r="I756" t="s">
        <v>3848</v>
      </c>
      <c r="J756" t="s">
        <v>3798</v>
      </c>
      <c r="K756" t="s">
        <v>3812</v>
      </c>
      <c r="L756" t="s">
        <v>2976</v>
      </c>
      <c r="M756" s="1086">
        <v>-165206.16</v>
      </c>
      <c r="N756" s="1086">
        <v>255190.32</v>
      </c>
      <c r="O756" s="1086">
        <v>0</v>
      </c>
      <c r="P756" s="1086">
        <v>87065.42</v>
      </c>
      <c r="Q756" s="1086">
        <v>0</v>
      </c>
      <c r="R756" s="1086">
        <v>0</v>
      </c>
      <c r="S756" s="1086">
        <v>152534.23000000001</v>
      </c>
      <c r="T756" s="1086">
        <v>32044.33</v>
      </c>
      <c r="U756" s="1086">
        <v>175585.13</v>
      </c>
      <c r="V756" s="1086">
        <v>0</v>
      </c>
      <c r="W756" s="1086">
        <v>0</v>
      </c>
      <c r="X756" s="1086">
        <v>0</v>
      </c>
      <c r="Y756" s="1086">
        <v>-6350</v>
      </c>
      <c r="Z756" s="1086">
        <v>0</v>
      </c>
      <c r="AA756" s="1086">
        <v>7049.68</v>
      </c>
      <c r="AB756" s="1086">
        <v>0</v>
      </c>
      <c r="AC756" s="1086">
        <v>-357944.63</v>
      </c>
      <c r="AD756" s="1086" t="s">
        <v>248</v>
      </c>
      <c r="AE756" s="1086" t="s">
        <v>3877</v>
      </c>
      <c r="AF756" s="1086">
        <f t="shared" si="45"/>
        <v>-357944.63</v>
      </c>
      <c r="AG756" s="1086">
        <f t="shared" ref="AG756:AG765" si="48">AC756-AF756</f>
        <v>0</v>
      </c>
      <c r="AQ756" s="1086">
        <v>0</v>
      </c>
      <c r="AR756" s="1086">
        <v>0</v>
      </c>
      <c r="AS756" s="1086">
        <v>-357944.63</v>
      </c>
      <c r="AT756" s="1086">
        <f t="shared" si="46"/>
        <v>0</v>
      </c>
      <c r="AV756" s="1150">
        <f t="shared" si="47"/>
        <v>447928.79000000004</v>
      </c>
    </row>
    <row r="757" spans="1:48" x14ac:dyDescent="0.2">
      <c r="A757" s="19">
        <v>772</v>
      </c>
      <c r="B757" t="s">
        <v>2057</v>
      </c>
      <c r="C757" t="s">
        <v>2078</v>
      </c>
      <c r="D757" t="s">
        <v>1057</v>
      </c>
      <c r="E757" t="s">
        <v>2281</v>
      </c>
      <c r="F757" t="s">
        <v>2474</v>
      </c>
      <c r="G757" t="s">
        <v>3797</v>
      </c>
      <c r="H757" t="s">
        <v>3830</v>
      </c>
      <c r="I757" t="s">
        <v>3848</v>
      </c>
      <c r="J757" t="s">
        <v>3798</v>
      </c>
      <c r="K757" t="s">
        <v>3813</v>
      </c>
      <c r="L757" t="s">
        <v>2977</v>
      </c>
      <c r="M757" s="1086">
        <v>-84892.07</v>
      </c>
      <c r="N757" s="1086">
        <v>428534.13</v>
      </c>
      <c r="O757" s="1086">
        <v>0</v>
      </c>
      <c r="P757" s="1086">
        <v>88808.3</v>
      </c>
      <c r="Q757" s="1086">
        <v>0</v>
      </c>
      <c r="R757" s="1086">
        <v>0</v>
      </c>
      <c r="S757" s="1086">
        <v>203683.58</v>
      </c>
      <c r="T757" s="1086">
        <v>41226.69</v>
      </c>
      <c r="U757" s="1086">
        <v>210648.15</v>
      </c>
      <c r="V757" s="1086">
        <v>0</v>
      </c>
      <c r="W757" s="1086">
        <v>0</v>
      </c>
      <c r="X757" s="1086">
        <v>0</v>
      </c>
      <c r="Y757" s="1086">
        <v>0</v>
      </c>
      <c r="Z757" s="1086">
        <v>0</v>
      </c>
      <c r="AA757" s="1086">
        <v>18373.04</v>
      </c>
      <c r="AB757" s="1086">
        <v>0</v>
      </c>
      <c r="AC757" s="1086">
        <v>-219097.7</v>
      </c>
      <c r="AD757" s="1086" t="s">
        <v>248</v>
      </c>
      <c r="AE757" s="1086" t="s">
        <v>3877</v>
      </c>
      <c r="AF757" s="1086">
        <f t="shared" si="45"/>
        <v>-219097.7</v>
      </c>
      <c r="AG757" s="1086">
        <f t="shared" si="48"/>
        <v>0</v>
      </c>
      <c r="AQ757" s="1086">
        <v>0</v>
      </c>
      <c r="AR757" s="1086">
        <v>0</v>
      </c>
      <c r="AS757" s="1086">
        <v>-219097.7</v>
      </c>
      <c r="AT757" s="1086">
        <f t="shared" si="46"/>
        <v>0</v>
      </c>
      <c r="AV757" s="1150">
        <f t="shared" si="47"/>
        <v>562739.76</v>
      </c>
    </row>
    <row r="758" spans="1:48" x14ac:dyDescent="0.2">
      <c r="A758" s="19">
        <v>773</v>
      </c>
      <c r="B758" t="s">
        <v>2058</v>
      </c>
      <c r="C758" t="s">
        <v>2078</v>
      </c>
      <c r="D758" t="s">
        <v>1057</v>
      </c>
      <c r="E758" t="s">
        <v>2282</v>
      </c>
      <c r="F758" t="s">
        <v>2475</v>
      </c>
      <c r="G758" t="s">
        <v>3797</v>
      </c>
      <c r="H758" t="s">
        <v>3830</v>
      </c>
      <c r="I758" t="s">
        <v>3848</v>
      </c>
      <c r="J758" t="s">
        <v>3798</v>
      </c>
      <c r="K758" t="s">
        <v>3814</v>
      </c>
      <c r="L758" t="s">
        <v>2978</v>
      </c>
      <c r="M758" s="1086">
        <v>-709949.64</v>
      </c>
      <c r="N758" s="1086">
        <v>-41391.620000000003</v>
      </c>
      <c r="O758" s="1086">
        <v>0</v>
      </c>
      <c r="P758" s="1086">
        <v>0</v>
      </c>
      <c r="Q758" s="1086">
        <v>0</v>
      </c>
      <c r="R758" s="1086">
        <v>0</v>
      </c>
      <c r="S758" s="1086">
        <v>116013.41</v>
      </c>
      <c r="T758" s="1086">
        <v>5750.36</v>
      </c>
      <c r="U758" s="1086">
        <v>608631.77</v>
      </c>
      <c r="V758" s="1086">
        <v>0</v>
      </c>
      <c r="W758" s="1086">
        <v>0</v>
      </c>
      <c r="X758" s="1086">
        <v>0</v>
      </c>
      <c r="Y758" s="1086">
        <v>0</v>
      </c>
      <c r="Z758" s="1086">
        <v>0</v>
      </c>
      <c r="AA758" s="1086">
        <v>-90545.87</v>
      </c>
      <c r="AB758" s="1086">
        <v>0</v>
      </c>
      <c r="AC758" s="1086">
        <v>-1391190.93</v>
      </c>
      <c r="AD758" s="1086" t="s">
        <v>248</v>
      </c>
      <c r="AE758" s="1086" t="s">
        <v>3877</v>
      </c>
      <c r="AF758" s="1086">
        <f t="shared" si="45"/>
        <v>-1391190.9300000002</v>
      </c>
      <c r="AG758" s="1086">
        <f t="shared" si="48"/>
        <v>0</v>
      </c>
      <c r="AQ758" s="1086">
        <v>0</v>
      </c>
      <c r="AR758" s="1086">
        <v>0</v>
      </c>
      <c r="AS758" s="1086">
        <v>-1391190.93</v>
      </c>
      <c r="AT758" s="1086">
        <f t="shared" si="46"/>
        <v>0</v>
      </c>
      <c r="AV758" s="1150">
        <f t="shared" si="47"/>
        <v>639849.67000000004</v>
      </c>
    </row>
    <row r="759" spans="1:48" x14ac:dyDescent="0.2">
      <c r="A759" s="19">
        <v>774</v>
      </c>
      <c r="B759" t="s">
        <v>2059</v>
      </c>
      <c r="C759" t="s">
        <v>2078</v>
      </c>
      <c r="D759" t="s">
        <v>1057</v>
      </c>
      <c r="E759" t="s">
        <v>2282</v>
      </c>
      <c r="F759" t="s">
        <v>2475</v>
      </c>
      <c r="G759" t="s">
        <v>3797</v>
      </c>
      <c r="H759" t="s">
        <v>3830</v>
      </c>
      <c r="I759" t="s">
        <v>3848</v>
      </c>
      <c r="J759" t="s">
        <v>3798</v>
      </c>
      <c r="K759" t="s">
        <v>3815</v>
      </c>
      <c r="L759" t="s">
        <v>2979</v>
      </c>
      <c r="M759" s="1086">
        <v>1051662.75</v>
      </c>
      <c r="N759" s="1086">
        <v>3340855.07</v>
      </c>
      <c r="O759" s="1086">
        <v>40000</v>
      </c>
      <c r="P759" s="1086">
        <v>101479.93</v>
      </c>
      <c r="Q759" s="1086">
        <v>0</v>
      </c>
      <c r="R759" s="1086">
        <v>54210.49</v>
      </c>
      <c r="S759" s="1086">
        <v>734320.46</v>
      </c>
      <c r="T759" s="1086">
        <v>82465.210000000006</v>
      </c>
      <c r="U759" s="1086">
        <v>557540.98</v>
      </c>
      <c r="V759" s="1086">
        <v>0</v>
      </c>
      <c r="W759" s="1086">
        <v>1932</v>
      </c>
      <c r="X759" s="1086">
        <v>0</v>
      </c>
      <c r="Y759" s="1086">
        <v>-36934.5</v>
      </c>
      <c r="Z759" s="1086">
        <v>0</v>
      </c>
      <c r="AA759" s="1086">
        <v>74547.960000000006</v>
      </c>
      <c r="AB759" s="1086">
        <v>0</v>
      </c>
      <c r="AC759" s="1086">
        <v>2862955.29</v>
      </c>
      <c r="AD759" s="1086" t="s">
        <v>248</v>
      </c>
      <c r="AE759" s="1086" t="s">
        <v>3877</v>
      </c>
      <c r="AF759" s="1086">
        <f t="shared" si="45"/>
        <v>2862955.2900000005</v>
      </c>
      <c r="AG759" s="1086">
        <f t="shared" si="48"/>
        <v>0</v>
      </c>
      <c r="AQ759" s="1086">
        <v>0</v>
      </c>
      <c r="AR759" s="1086">
        <v>0</v>
      </c>
      <c r="AS759" s="1086">
        <v>2862955.29</v>
      </c>
      <c r="AT759" s="1086">
        <f t="shared" si="46"/>
        <v>0</v>
      </c>
      <c r="AV759" s="1150">
        <f t="shared" si="47"/>
        <v>1569562.5299999998</v>
      </c>
    </row>
    <row r="760" spans="1:48" x14ac:dyDescent="0.2">
      <c r="A760" s="19">
        <v>775</v>
      </c>
      <c r="B760" t="s">
        <v>2060</v>
      </c>
      <c r="C760" t="s">
        <v>2078</v>
      </c>
      <c r="D760" t="s">
        <v>1057</v>
      </c>
      <c r="E760" t="s">
        <v>2283</v>
      </c>
      <c r="F760" t="s">
        <v>2476</v>
      </c>
      <c r="G760" t="s">
        <v>3797</v>
      </c>
      <c r="H760" t="s">
        <v>3830</v>
      </c>
      <c r="I760" t="s">
        <v>3848</v>
      </c>
      <c r="J760" t="s">
        <v>3798</v>
      </c>
      <c r="K760" t="s">
        <v>3816</v>
      </c>
      <c r="L760" t="s">
        <v>2980</v>
      </c>
      <c r="M760" s="1086">
        <v>-750679.01</v>
      </c>
      <c r="N760" s="1086">
        <v>999744.21</v>
      </c>
      <c r="O760" s="1086">
        <v>0</v>
      </c>
      <c r="P760" s="1086">
        <v>280787.40999999997</v>
      </c>
      <c r="Q760" s="1086">
        <v>0</v>
      </c>
      <c r="R760" s="1086">
        <v>187757.22</v>
      </c>
      <c r="S760" s="1086">
        <v>635752.81000000006</v>
      </c>
      <c r="T760" s="1086">
        <v>171281.02</v>
      </c>
      <c r="U760" s="1086">
        <v>351464.14</v>
      </c>
      <c r="V760" s="1086">
        <v>0</v>
      </c>
      <c r="W760" s="1086">
        <v>4296</v>
      </c>
      <c r="X760" s="1086">
        <v>0</v>
      </c>
      <c r="Y760" s="1086">
        <v>-48053.599999999999</v>
      </c>
      <c r="Z760" s="1086">
        <v>0</v>
      </c>
      <c r="AA760" s="1086">
        <v>154465.18</v>
      </c>
      <c r="AB760" s="1086">
        <v>0</v>
      </c>
      <c r="AC760" s="1086">
        <v>-1488684.98</v>
      </c>
      <c r="AD760" s="1086" t="s">
        <v>248</v>
      </c>
      <c r="AE760" s="1086" t="s">
        <v>3877</v>
      </c>
      <c r="AF760" s="1086">
        <f t="shared" si="45"/>
        <v>-1488684.98</v>
      </c>
      <c r="AG760" s="1086">
        <f t="shared" si="48"/>
        <v>0</v>
      </c>
      <c r="AQ760" s="1086">
        <v>0</v>
      </c>
      <c r="AR760" s="1086">
        <v>0</v>
      </c>
      <c r="AS760" s="1086">
        <v>-1488684.98</v>
      </c>
      <c r="AT760" s="1086">
        <f t="shared" si="46"/>
        <v>0</v>
      </c>
      <c r="AV760" s="1150">
        <f t="shared" si="47"/>
        <v>1737750.18</v>
      </c>
    </row>
    <row r="761" spans="1:48" x14ac:dyDescent="0.2">
      <c r="A761" s="19">
        <v>776</v>
      </c>
      <c r="B761" t="s">
        <v>2061</v>
      </c>
      <c r="C761" t="s">
        <v>2078</v>
      </c>
      <c r="D761" t="s">
        <v>1057</v>
      </c>
      <c r="E761" t="s">
        <v>2283</v>
      </c>
      <c r="F761" t="s">
        <v>2476</v>
      </c>
      <c r="G761" t="s">
        <v>3797</v>
      </c>
      <c r="H761" t="s">
        <v>3830</v>
      </c>
      <c r="I761" t="s">
        <v>3848</v>
      </c>
      <c r="J761" t="s">
        <v>3798</v>
      </c>
      <c r="K761" t="s">
        <v>3817</v>
      </c>
      <c r="L761" t="s">
        <v>2981</v>
      </c>
      <c r="M761" s="1086">
        <v>-62546.35</v>
      </c>
      <c r="N761" s="1086">
        <v>5025</v>
      </c>
      <c r="O761" s="1086">
        <v>0</v>
      </c>
      <c r="P761" s="1086">
        <v>23000.04</v>
      </c>
      <c r="Q761" s="1086">
        <v>0</v>
      </c>
      <c r="R761" s="1086">
        <v>26230.65</v>
      </c>
      <c r="S761" s="1086">
        <v>38930.5</v>
      </c>
      <c r="T761" s="1086">
        <v>17137.419999999998</v>
      </c>
      <c r="U761" s="1086">
        <v>141696.51999999999</v>
      </c>
      <c r="V761" s="1086">
        <v>0</v>
      </c>
      <c r="W761" s="1086">
        <v>0</v>
      </c>
      <c r="X761" s="1086">
        <v>0</v>
      </c>
      <c r="Y761" s="1086">
        <v>0</v>
      </c>
      <c r="Z761" s="1086">
        <v>0</v>
      </c>
      <c r="AA761" s="1086">
        <v>-2166.36</v>
      </c>
      <c r="AB761" s="1086">
        <v>0</v>
      </c>
      <c r="AC761" s="1086">
        <v>-302350.12</v>
      </c>
      <c r="AD761" s="1086" t="s">
        <v>248</v>
      </c>
      <c r="AE761" s="1086" t="s">
        <v>3877</v>
      </c>
      <c r="AF761" s="1086">
        <f t="shared" si="45"/>
        <v>-302350.12</v>
      </c>
      <c r="AG761" s="1086">
        <f t="shared" si="48"/>
        <v>0</v>
      </c>
      <c r="AQ761" s="1086">
        <v>0</v>
      </c>
      <c r="AR761" s="1086">
        <v>0</v>
      </c>
      <c r="AS761" s="1086">
        <v>-302350.12</v>
      </c>
      <c r="AT761" s="1086">
        <f t="shared" si="46"/>
        <v>0</v>
      </c>
      <c r="AV761" s="1150">
        <f t="shared" si="47"/>
        <v>244828.77000000002</v>
      </c>
    </row>
    <row r="762" spans="1:48" x14ac:dyDescent="0.2">
      <c r="A762" s="19">
        <v>777</v>
      </c>
      <c r="B762" t="s">
        <v>2062</v>
      </c>
      <c r="C762" t="s">
        <v>2078</v>
      </c>
      <c r="D762" t="s">
        <v>1057</v>
      </c>
      <c r="E762" t="s">
        <v>2284</v>
      </c>
      <c r="F762" t="s">
        <v>2477</v>
      </c>
      <c r="G762" t="s">
        <v>3797</v>
      </c>
      <c r="H762" t="s">
        <v>3830</v>
      </c>
      <c r="I762" t="s">
        <v>3848</v>
      </c>
      <c r="J762" t="s">
        <v>3798</v>
      </c>
      <c r="K762" t="s">
        <v>3818</v>
      </c>
      <c r="L762" t="s">
        <v>2982</v>
      </c>
      <c r="M762" s="1086">
        <v>-721556.2</v>
      </c>
      <c r="N762" s="1086">
        <v>0</v>
      </c>
      <c r="O762" s="1086">
        <v>0</v>
      </c>
      <c r="P762" s="1086">
        <v>253910.58</v>
      </c>
      <c r="Q762" s="1086">
        <v>0</v>
      </c>
      <c r="R762" s="1086">
        <v>35861.980000000003</v>
      </c>
      <c r="S762" s="1086">
        <v>186431.51</v>
      </c>
      <c r="T762" s="1086">
        <v>129326.93</v>
      </c>
      <c r="U762" s="1086">
        <v>33723.99</v>
      </c>
      <c r="V762" s="1086">
        <v>0</v>
      </c>
      <c r="W762" s="1086">
        <v>0</v>
      </c>
      <c r="X762" s="1086">
        <v>0</v>
      </c>
      <c r="Y762" s="1086">
        <v>0</v>
      </c>
      <c r="Z762" s="1086">
        <v>0</v>
      </c>
      <c r="AA762" s="1086">
        <v>0</v>
      </c>
      <c r="AB762" s="1086">
        <v>0</v>
      </c>
      <c r="AC762" s="1086">
        <v>-1360811.19</v>
      </c>
      <c r="AD762" s="1086" t="s">
        <v>248</v>
      </c>
      <c r="AE762" s="1086" t="s">
        <v>3877</v>
      </c>
      <c r="AF762" s="1086">
        <f t="shared" si="45"/>
        <v>-1360811.19</v>
      </c>
      <c r="AG762" s="1086">
        <f t="shared" si="48"/>
        <v>0</v>
      </c>
      <c r="AQ762" s="1086">
        <v>0</v>
      </c>
      <c r="AR762" s="1086">
        <v>0</v>
      </c>
      <c r="AS762" s="1086">
        <v>-1360811.19</v>
      </c>
      <c r="AT762" s="1086">
        <f t="shared" si="46"/>
        <v>0</v>
      </c>
      <c r="AV762" s="1150">
        <f t="shared" si="47"/>
        <v>639254.99</v>
      </c>
    </row>
    <row r="763" spans="1:48" x14ac:dyDescent="0.2">
      <c r="A763" s="19">
        <v>778</v>
      </c>
      <c r="B763" t="s">
        <v>2063</v>
      </c>
      <c r="C763" t="s">
        <v>2078</v>
      </c>
      <c r="D763" t="s">
        <v>1057</v>
      </c>
      <c r="E763" t="s">
        <v>2284</v>
      </c>
      <c r="F763" t="s">
        <v>2477</v>
      </c>
      <c r="G763" t="s">
        <v>3797</v>
      </c>
      <c r="H763" t="s">
        <v>3830</v>
      </c>
      <c r="I763" t="s">
        <v>3848</v>
      </c>
      <c r="J763" t="s">
        <v>3798</v>
      </c>
      <c r="K763" t="s">
        <v>3819</v>
      </c>
      <c r="L763" t="s">
        <v>2983</v>
      </c>
      <c r="M763" s="1086">
        <v>2356286.1</v>
      </c>
      <c r="N763" s="1086">
        <v>2971723.06</v>
      </c>
      <c r="O763" s="1086">
        <v>0</v>
      </c>
      <c r="P763" s="1086">
        <v>173423.14</v>
      </c>
      <c r="Q763" s="1086">
        <v>0</v>
      </c>
      <c r="R763" s="1086">
        <v>0</v>
      </c>
      <c r="S763" s="1086">
        <v>119203.91</v>
      </c>
      <c r="T763" s="1086">
        <v>61160.98</v>
      </c>
      <c r="U763" s="1086">
        <v>655025.77</v>
      </c>
      <c r="V763" s="1086">
        <v>0</v>
      </c>
      <c r="W763" s="1086">
        <v>0</v>
      </c>
      <c r="X763" s="1086">
        <v>0</v>
      </c>
      <c r="Y763" s="1086">
        <v>0</v>
      </c>
      <c r="Z763" s="1086">
        <v>0</v>
      </c>
      <c r="AA763" s="1086">
        <v>99963.54</v>
      </c>
      <c r="AB763" s="1086">
        <v>0</v>
      </c>
      <c r="AC763" s="1086">
        <v>4219231.82</v>
      </c>
      <c r="AD763" s="1086" t="s">
        <v>248</v>
      </c>
      <c r="AE763" s="1086" t="s">
        <v>3877</v>
      </c>
      <c r="AF763" s="1086">
        <f t="shared" si="45"/>
        <v>4219231.82</v>
      </c>
      <c r="AG763" s="1086">
        <f t="shared" si="48"/>
        <v>0</v>
      </c>
      <c r="AQ763" s="1086">
        <v>0</v>
      </c>
      <c r="AR763" s="1086">
        <v>0</v>
      </c>
      <c r="AS763" s="1086">
        <v>4219231.82</v>
      </c>
      <c r="AT763" s="1086">
        <f t="shared" si="46"/>
        <v>0</v>
      </c>
      <c r="AV763" s="1150">
        <f t="shared" si="47"/>
        <v>1108777.3400000001</v>
      </c>
    </row>
    <row r="764" spans="1:48" x14ac:dyDescent="0.2">
      <c r="A764" s="19">
        <v>779</v>
      </c>
      <c r="B764" t="s">
        <v>2064</v>
      </c>
      <c r="C764" t="s">
        <v>2078</v>
      </c>
      <c r="D764" t="s">
        <v>1057</v>
      </c>
      <c r="E764" t="s">
        <v>2285</v>
      </c>
      <c r="F764" t="s">
        <v>2478</v>
      </c>
      <c r="G764" t="s">
        <v>3797</v>
      </c>
      <c r="H764" t="s">
        <v>3830</v>
      </c>
      <c r="I764" t="s">
        <v>3848</v>
      </c>
      <c r="J764" t="s">
        <v>3798</v>
      </c>
      <c r="K764" t="s">
        <v>3820</v>
      </c>
      <c r="L764" t="s">
        <v>2984</v>
      </c>
      <c r="M764" s="1086">
        <v>850458.84</v>
      </c>
      <c r="N764" s="1086">
        <v>4633502.97</v>
      </c>
      <c r="O764" s="1086">
        <v>0</v>
      </c>
      <c r="P764" s="1086">
        <v>493016.23</v>
      </c>
      <c r="Q764" s="1086">
        <v>0</v>
      </c>
      <c r="R764" s="1086">
        <v>81184.990000000005</v>
      </c>
      <c r="S764" s="1086">
        <v>968079.95</v>
      </c>
      <c r="T764" s="1086">
        <v>160755.79</v>
      </c>
      <c r="U764" s="1086">
        <v>1644235.17</v>
      </c>
      <c r="V764" s="1086">
        <v>0</v>
      </c>
      <c r="W764" s="1086">
        <v>45</v>
      </c>
      <c r="X764" s="1086">
        <v>0</v>
      </c>
      <c r="Y764" s="1086">
        <v>-614235.13</v>
      </c>
      <c r="Z764" s="1086">
        <v>0</v>
      </c>
      <c r="AA764" s="1086">
        <v>172788.12</v>
      </c>
      <c r="AB764" s="1086">
        <v>0</v>
      </c>
      <c r="AC764" s="1086">
        <v>2578091.69</v>
      </c>
      <c r="AD764" s="1086" t="s">
        <v>248</v>
      </c>
      <c r="AE764" s="1086" t="s">
        <v>3877</v>
      </c>
      <c r="AF764" s="1086">
        <f t="shared" si="45"/>
        <v>2578091.6899999995</v>
      </c>
      <c r="AG764" s="1086">
        <f t="shared" si="48"/>
        <v>0</v>
      </c>
      <c r="AQ764" s="1086">
        <v>0</v>
      </c>
      <c r="AR764" s="1086">
        <v>0</v>
      </c>
      <c r="AS764" s="1086">
        <v>2578091.69</v>
      </c>
      <c r="AT764" s="1086">
        <f t="shared" si="46"/>
        <v>0</v>
      </c>
      <c r="AV764" s="1150">
        <f t="shared" si="47"/>
        <v>2905870.12</v>
      </c>
    </row>
    <row r="765" spans="1:48" x14ac:dyDescent="0.2">
      <c r="A765" s="19">
        <v>780</v>
      </c>
      <c r="B765" t="s">
        <v>2065</v>
      </c>
      <c r="C765" t="s">
        <v>2078</v>
      </c>
      <c r="D765" t="s">
        <v>1057</v>
      </c>
      <c r="E765" t="s">
        <v>2285</v>
      </c>
      <c r="F765" t="s">
        <v>2478</v>
      </c>
      <c r="G765" t="s">
        <v>3797</v>
      </c>
      <c r="H765" t="s">
        <v>3830</v>
      </c>
      <c r="I765" t="s">
        <v>3848</v>
      </c>
      <c r="J765" t="s">
        <v>3798</v>
      </c>
      <c r="K765" t="s">
        <v>3821</v>
      </c>
      <c r="L765" t="s">
        <v>2985</v>
      </c>
      <c r="M765" s="1086">
        <v>3061555.83</v>
      </c>
      <c r="N765" s="1086">
        <v>7032574.8300000001</v>
      </c>
      <c r="O765" s="1086">
        <v>0</v>
      </c>
      <c r="P765" s="1086">
        <v>382902.07</v>
      </c>
      <c r="Q765" s="1086">
        <v>0</v>
      </c>
      <c r="R765" s="1086">
        <v>375518.03</v>
      </c>
      <c r="S765" s="1086">
        <v>572510.57999999996</v>
      </c>
      <c r="T765" s="1086">
        <v>235046.98</v>
      </c>
      <c r="U765" s="1086">
        <v>2686984.25</v>
      </c>
      <c r="V765" s="1086">
        <v>0</v>
      </c>
      <c r="W765" s="1086">
        <v>0</v>
      </c>
      <c r="X765" s="1086">
        <v>0</v>
      </c>
      <c r="Y765" s="1086">
        <v>0</v>
      </c>
      <c r="Z765" s="1086">
        <v>0</v>
      </c>
      <c r="AA765" s="1086">
        <v>250744.99</v>
      </c>
      <c r="AB765" s="1086">
        <v>0</v>
      </c>
      <c r="AC765" s="1086">
        <v>5590423.7599999998</v>
      </c>
      <c r="AD765" s="1086" t="s">
        <v>248</v>
      </c>
      <c r="AE765" s="1086" t="s">
        <v>3877</v>
      </c>
      <c r="AF765" s="1086">
        <f t="shared" si="45"/>
        <v>5590423.7599999998</v>
      </c>
      <c r="AG765" s="1086">
        <f t="shared" si="48"/>
        <v>0</v>
      </c>
      <c r="AQ765" s="1086">
        <v>0</v>
      </c>
      <c r="AR765" s="1086">
        <v>0</v>
      </c>
      <c r="AS765" s="1086">
        <v>5590423.7599999998</v>
      </c>
      <c r="AT765" s="1086">
        <f t="shared" si="46"/>
        <v>0</v>
      </c>
      <c r="AV765" s="1150">
        <f t="shared" si="47"/>
        <v>4503706.9000000004</v>
      </c>
    </row>
    <row r="766" spans="1:48" x14ac:dyDescent="0.2">
      <c r="A766" s="19">
        <v>781</v>
      </c>
      <c r="B766" t="s">
        <v>3922</v>
      </c>
      <c r="C766" t="s">
        <v>1290</v>
      </c>
      <c r="D766" t="s">
        <v>2079</v>
      </c>
      <c r="E766" s="167" t="s">
        <v>2276</v>
      </c>
      <c r="F766" t="s">
        <v>3923</v>
      </c>
      <c r="G766" s="167" t="s">
        <v>1249</v>
      </c>
      <c r="H766" s="167" t="s">
        <v>3827</v>
      </c>
      <c r="I766" s="167" t="s">
        <v>3251</v>
      </c>
      <c r="J766" s="167" t="s">
        <v>3251</v>
      </c>
      <c r="K766" s="167" t="s">
        <v>3251</v>
      </c>
      <c r="L766" s="167" t="s">
        <v>3924</v>
      </c>
      <c r="M766" s="1086">
        <v>0</v>
      </c>
      <c r="N766" s="1086">
        <v>0</v>
      </c>
      <c r="O766" s="1086">
        <v>0</v>
      </c>
      <c r="P766" s="1086">
        <v>0</v>
      </c>
      <c r="Q766" s="1086">
        <v>0</v>
      </c>
      <c r="R766" s="1086">
        <v>0</v>
      </c>
      <c r="S766" s="1086">
        <v>0</v>
      </c>
      <c r="T766" s="1086">
        <v>0</v>
      </c>
      <c r="U766" s="1086">
        <v>0</v>
      </c>
      <c r="V766" s="1086">
        <v>0</v>
      </c>
      <c r="W766" s="1086">
        <v>0</v>
      </c>
      <c r="X766" s="1086">
        <v>0</v>
      </c>
      <c r="Y766" s="1086">
        <v>0</v>
      </c>
      <c r="Z766" s="1086">
        <v>0</v>
      </c>
      <c r="AA766" s="1086">
        <v>0</v>
      </c>
      <c r="AB766" s="1086">
        <v>0</v>
      </c>
      <c r="AC766" s="1086">
        <v>0</v>
      </c>
      <c r="AD766" s="1086" t="s">
        <v>248</v>
      </c>
      <c r="AE766" s="1086" t="s">
        <v>3877</v>
      </c>
      <c r="AF766" s="1086">
        <f t="shared" ref="AF766" si="49">M766+N766+O766-(SUM(P766:AB766))-AQ766-AR766</f>
        <v>0</v>
      </c>
      <c r="AG766" s="1086">
        <f t="shared" ref="AG766" si="50">AC766-AF766</f>
        <v>0</v>
      </c>
      <c r="AQ766" s="1086">
        <v>0</v>
      </c>
      <c r="AR766" s="1086">
        <v>0</v>
      </c>
      <c r="AS766" s="1086">
        <v>0</v>
      </c>
      <c r="AT766" s="1086">
        <f t="shared" si="46"/>
        <v>0</v>
      </c>
      <c r="AV766" s="1150">
        <f t="shared" ref="AV766" si="51">SUM(P766:AB766)+AQ766+AR766</f>
        <v>0</v>
      </c>
    </row>
    <row r="767" spans="1:48" x14ac:dyDescent="0.2">
      <c r="A767" s="19">
        <v>782</v>
      </c>
      <c r="B767" s="1171" t="s">
        <v>3925</v>
      </c>
      <c r="C767" s="167" t="s">
        <v>1290</v>
      </c>
      <c r="D767" s="167" t="s">
        <v>2079</v>
      </c>
      <c r="E767" s="167" t="s">
        <v>2276</v>
      </c>
      <c r="F767" t="s">
        <v>3923</v>
      </c>
      <c r="G767" s="167" t="s">
        <v>1249</v>
      </c>
      <c r="H767" s="167" t="s">
        <v>3827</v>
      </c>
      <c r="I767" s="167" t="s">
        <v>3251</v>
      </c>
      <c r="J767" s="167" t="s">
        <v>3251</v>
      </c>
      <c r="K767" s="167" t="s">
        <v>3251</v>
      </c>
      <c r="L767" s="167" t="s">
        <v>3929</v>
      </c>
      <c r="M767" s="1086">
        <v>0</v>
      </c>
      <c r="N767" s="1086">
        <v>0</v>
      </c>
      <c r="O767" s="1086">
        <v>0</v>
      </c>
      <c r="P767" s="1086">
        <v>0</v>
      </c>
      <c r="Q767" s="1086">
        <v>0</v>
      </c>
      <c r="R767" s="1086">
        <v>0</v>
      </c>
      <c r="S767" s="1086">
        <v>0</v>
      </c>
      <c r="T767" s="1086">
        <v>0</v>
      </c>
      <c r="U767" s="1086">
        <v>0</v>
      </c>
      <c r="V767" s="1086">
        <v>0</v>
      </c>
      <c r="W767" s="1086">
        <v>0</v>
      </c>
      <c r="X767" s="1086">
        <v>0</v>
      </c>
      <c r="Y767" s="1086">
        <v>0</v>
      </c>
      <c r="Z767" s="1086">
        <v>0</v>
      </c>
      <c r="AA767" s="1086">
        <v>0</v>
      </c>
      <c r="AB767" s="1086">
        <v>0</v>
      </c>
      <c r="AC767" s="1086">
        <v>0</v>
      </c>
      <c r="AD767" s="1086" t="s">
        <v>248</v>
      </c>
      <c r="AE767" s="1086" t="s">
        <v>3877</v>
      </c>
      <c r="AF767" s="1086">
        <f t="shared" ref="AF767:AF770" si="52">M767+N767+O767-(SUM(P767:AB767))-AQ767-AR767</f>
        <v>0</v>
      </c>
      <c r="AG767" s="1086">
        <f t="shared" ref="AG767:AG770" si="53">AC767-AF767</f>
        <v>0</v>
      </c>
      <c r="AQ767" s="1086">
        <v>0</v>
      </c>
      <c r="AR767" s="1086">
        <v>0</v>
      </c>
      <c r="AS767" s="1086">
        <v>0</v>
      </c>
      <c r="AT767" s="1086">
        <f t="shared" ref="AT767:AT770" si="54">AC767-AS767</f>
        <v>0</v>
      </c>
      <c r="AV767" s="1150">
        <f t="shared" ref="AV767:AV770" si="55">SUM(P767:AB767)+AQ767+AR767</f>
        <v>0</v>
      </c>
    </row>
    <row r="768" spans="1:48" x14ac:dyDescent="0.2">
      <c r="A768" s="19">
        <v>783</v>
      </c>
      <c r="B768" s="1171" t="s">
        <v>3926</v>
      </c>
      <c r="C768" s="167" t="s">
        <v>2076</v>
      </c>
      <c r="D768" s="167" t="s">
        <v>2079</v>
      </c>
      <c r="E768" s="167" t="s">
        <v>2276</v>
      </c>
      <c r="F768" t="s">
        <v>3923</v>
      </c>
      <c r="G768" s="167" t="s">
        <v>1249</v>
      </c>
      <c r="H768" s="167" t="s">
        <v>3827</v>
      </c>
      <c r="I768" s="167" t="s">
        <v>3251</v>
      </c>
      <c r="J768" s="167" t="s">
        <v>3251</v>
      </c>
      <c r="K768" s="167" t="s">
        <v>3251</v>
      </c>
      <c r="L768" s="167" t="s">
        <v>3930</v>
      </c>
      <c r="M768" s="1086">
        <v>0</v>
      </c>
      <c r="N768" s="1086">
        <v>0</v>
      </c>
      <c r="O768" s="1086">
        <v>0</v>
      </c>
      <c r="P768" s="1086">
        <v>0</v>
      </c>
      <c r="Q768" s="1086">
        <v>0</v>
      </c>
      <c r="R768" s="1086">
        <v>0</v>
      </c>
      <c r="S768" s="1086">
        <v>0</v>
      </c>
      <c r="T768" s="1086">
        <v>0</v>
      </c>
      <c r="U768" s="1086">
        <v>0</v>
      </c>
      <c r="V768" s="1086">
        <v>0</v>
      </c>
      <c r="W768" s="1086">
        <v>0</v>
      </c>
      <c r="X768" s="1086">
        <v>0</v>
      </c>
      <c r="Y768" s="1086">
        <v>0</v>
      </c>
      <c r="Z768" s="1086">
        <v>0</v>
      </c>
      <c r="AA768" s="1086">
        <v>0</v>
      </c>
      <c r="AB768" s="1086">
        <v>0</v>
      </c>
      <c r="AC768" s="1086">
        <v>0</v>
      </c>
      <c r="AD768" s="1086" t="s">
        <v>248</v>
      </c>
      <c r="AE768" s="1086" t="s">
        <v>3883</v>
      </c>
      <c r="AF768" s="1086">
        <f t="shared" si="52"/>
        <v>0</v>
      </c>
      <c r="AG768" s="1086">
        <f t="shared" si="53"/>
        <v>0</v>
      </c>
      <c r="AQ768" s="1086">
        <v>0</v>
      </c>
      <c r="AR768" s="1086">
        <v>0</v>
      </c>
      <c r="AS768" s="1086">
        <v>0</v>
      </c>
      <c r="AT768" s="1086">
        <f t="shared" si="54"/>
        <v>0</v>
      </c>
      <c r="AV768" s="1150">
        <f t="shared" si="55"/>
        <v>0</v>
      </c>
    </row>
    <row r="769" spans="1:48" x14ac:dyDescent="0.2">
      <c r="A769" s="19">
        <v>784</v>
      </c>
      <c r="B769" s="1171" t="s">
        <v>3927</v>
      </c>
      <c r="C769" s="167" t="s">
        <v>1290</v>
      </c>
      <c r="D769" s="167" t="s">
        <v>3933</v>
      </c>
      <c r="E769" s="167" t="s">
        <v>3934</v>
      </c>
      <c r="F769" t="s">
        <v>3923</v>
      </c>
      <c r="G769" s="167" t="s">
        <v>1249</v>
      </c>
      <c r="H769" s="167" t="s">
        <v>3827</v>
      </c>
      <c r="I769" s="167" t="s">
        <v>3251</v>
      </c>
      <c r="J769" s="167" t="s">
        <v>3251</v>
      </c>
      <c r="K769" s="167" t="s">
        <v>3251</v>
      </c>
      <c r="L769" s="167" t="s">
        <v>3932</v>
      </c>
      <c r="M769" s="1086">
        <v>0</v>
      </c>
      <c r="N769" s="1086">
        <v>0</v>
      </c>
      <c r="O769" s="1086">
        <v>0</v>
      </c>
      <c r="P769" s="1086">
        <v>0</v>
      </c>
      <c r="Q769" s="1086">
        <v>0</v>
      </c>
      <c r="R769" s="1086">
        <v>0</v>
      </c>
      <c r="S769" s="1086">
        <v>0</v>
      </c>
      <c r="T769" s="1086">
        <v>0</v>
      </c>
      <c r="U769" s="1086">
        <v>0</v>
      </c>
      <c r="V769" s="1086">
        <v>0</v>
      </c>
      <c r="W769" s="1086">
        <v>0</v>
      </c>
      <c r="X769" s="1086">
        <v>0</v>
      </c>
      <c r="Y769" s="1086">
        <v>0</v>
      </c>
      <c r="Z769" s="1086">
        <v>0</v>
      </c>
      <c r="AA769" s="1086">
        <v>0</v>
      </c>
      <c r="AB769" s="1086">
        <v>0</v>
      </c>
      <c r="AC769" s="1086">
        <v>0</v>
      </c>
      <c r="AD769" s="1086" t="s">
        <v>248</v>
      </c>
      <c r="AE769" s="1086" t="s">
        <v>3877</v>
      </c>
      <c r="AF769" s="1086">
        <f t="shared" si="52"/>
        <v>0</v>
      </c>
      <c r="AG769" s="1086">
        <f t="shared" si="53"/>
        <v>0</v>
      </c>
      <c r="AQ769" s="1086">
        <v>0</v>
      </c>
      <c r="AR769" s="1086">
        <v>0</v>
      </c>
      <c r="AS769" s="1086">
        <v>0</v>
      </c>
      <c r="AT769" s="1086">
        <f t="shared" si="54"/>
        <v>0</v>
      </c>
      <c r="AV769" s="1150">
        <f t="shared" si="55"/>
        <v>0</v>
      </c>
    </row>
    <row r="770" spans="1:48" x14ac:dyDescent="0.2">
      <c r="A770" s="19">
        <v>785</v>
      </c>
      <c r="B770" s="1171" t="s">
        <v>3928</v>
      </c>
      <c r="C770" s="167" t="s">
        <v>2076</v>
      </c>
      <c r="D770" s="167" t="s">
        <v>2079</v>
      </c>
      <c r="E770" s="167" t="s">
        <v>2226</v>
      </c>
      <c r="F770" t="s">
        <v>3923</v>
      </c>
      <c r="G770" s="167" t="s">
        <v>1249</v>
      </c>
      <c r="H770" s="167" t="s">
        <v>3826</v>
      </c>
      <c r="I770" s="167" t="s">
        <v>3251</v>
      </c>
      <c r="J770" s="167" t="s">
        <v>3251</v>
      </c>
      <c r="K770" s="167" t="s">
        <v>3251</v>
      </c>
      <c r="L770" s="167" t="s">
        <v>3931</v>
      </c>
      <c r="M770" s="1086">
        <v>0</v>
      </c>
      <c r="N770" s="1086">
        <v>0</v>
      </c>
      <c r="O770" s="1086">
        <v>0</v>
      </c>
      <c r="P770" s="1086">
        <v>0</v>
      </c>
      <c r="Q770" s="1086">
        <v>0</v>
      </c>
      <c r="R770" s="1086">
        <v>0</v>
      </c>
      <c r="S770" s="1086">
        <v>0</v>
      </c>
      <c r="T770" s="1086">
        <v>0</v>
      </c>
      <c r="U770" s="1086">
        <v>0</v>
      </c>
      <c r="V770" s="1086">
        <v>0</v>
      </c>
      <c r="W770" s="1086">
        <v>0</v>
      </c>
      <c r="X770" s="1086">
        <v>0</v>
      </c>
      <c r="Y770" s="1086">
        <v>0</v>
      </c>
      <c r="Z770" s="1086">
        <v>0</v>
      </c>
      <c r="AA770" s="1086">
        <v>0</v>
      </c>
      <c r="AB770" s="1086">
        <v>0</v>
      </c>
      <c r="AC770" s="1086">
        <v>0</v>
      </c>
      <c r="AD770" s="1086" t="s">
        <v>248</v>
      </c>
      <c r="AE770" s="1086" t="s">
        <v>3883</v>
      </c>
      <c r="AF770" s="1086">
        <f t="shared" si="52"/>
        <v>0</v>
      </c>
      <c r="AG770" s="1086">
        <f t="shared" si="53"/>
        <v>0</v>
      </c>
      <c r="AQ770" s="1086">
        <v>0</v>
      </c>
      <c r="AR770" s="1086">
        <v>0</v>
      </c>
      <c r="AS770" s="1086">
        <v>0</v>
      </c>
      <c r="AT770" s="1086">
        <f t="shared" si="54"/>
        <v>0</v>
      </c>
      <c r="AV770" s="1150">
        <f t="shared" si="55"/>
        <v>0</v>
      </c>
    </row>
    <row r="771" spans="1:48" x14ac:dyDescent="0.2">
      <c r="A771" s="19">
        <v>786</v>
      </c>
      <c r="B771" s="1171" t="s">
        <v>3935</v>
      </c>
      <c r="C771" s="167" t="s">
        <v>3936</v>
      </c>
      <c r="D771" s="167" t="s">
        <v>1044</v>
      </c>
      <c r="E771" s="167" t="s">
        <v>2243</v>
      </c>
      <c r="F771" s="167" t="s">
        <v>2437</v>
      </c>
      <c r="G771" s="167" t="s">
        <v>1250</v>
      </c>
      <c r="H771" s="167" t="s">
        <v>3822</v>
      </c>
      <c r="I771" s="167" t="s">
        <v>3251</v>
      </c>
      <c r="J771" s="167" t="s">
        <v>3251</v>
      </c>
      <c r="K771" s="167" t="s">
        <v>3251</v>
      </c>
      <c r="L771" s="167" t="s">
        <v>3937</v>
      </c>
      <c r="M771" s="1086">
        <v>750702.97</v>
      </c>
      <c r="N771" s="1086">
        <v>0</v>
      </c>
      <c r="O771" s="1086">
        <v>622040</v>
      </c>
      <c r="P771" s="1086">
        <v>1078914.93</v>
      </c>
      <c r="Q771" s="1086">
        <v>0</v>
      </c>
      <c r="R771" s="1086">
        <v>0</v>
      </c>
      <c r="S771" s="1086">
        <v>0</v>
      </c>
      <c r="T771" s="1086">
        <v>293221.84000000003</v>
      </c>
      <c r="U771" s="1086">
        <v>605.63</v>
      </c>
      <c r="V771" s="1086">
        <v>0</v>
      </c>
      <c r="W771" s="1086">
        <v>0</v>
      </c>
      <c r="X771" s="1086">
        <v>0</v>
      </c>
      <c r="Y771" s="1086">
        <v>0</v>
      </c>
      <c r="Z771" s="1086">
        <v>0</v>
      </c>
      <c r="AA771" s="1086">
        <v>0</v>
      </c>
      <c r="AB771" s="1086">
        <v>0</v>
      </c>
      <c r="AC771" s="1086">
        <v>0.56999999999999995</v>
      </c>
      <c r="AD771" s="1086" t="s">
        <v>248</v>
      </c>
      <c r="AE771" s="1086" t="s">
        <v>3877</v>
      </c>
      <c r="AF771" s="1086">
        <f t="shared" ref="AF771:AF774" si="56">M771+N771+O771-(SUM(P771:AB771))-AQ771-AR771</f>
        <v>0.57000000006519258</v>
      </c>
      <c r="AG771" s="1086">
        <f t="shared" ref="AG771:AG774" si="57">AC771-AF771</f>
        <v>-6.519262907289658E-11</v>
      </c>
      <c r="AQ771" s="1086">
        <v>0</v>
      </c>
      <c r="AR771" s="1086">
        <v>0</v>
      </c>
      <c r="AS771" s="1086">
        <v>0.56999999999999995</v>
      </c>
      <c r="AT771" s="1086">
        <f t="shared" ref="AT771:AT778" si="58">AC771-AS771</f>
        <v>0</v>
      </c>
      <c r="AV771" s="1150">
        <f t="shared" ref="AV771:AV778" si="59">SUM(P771:AB771)+AQ771+AR771</f>
        <v>1372742.4</v>
      </c>
    </row>
    <row r="772" spans="1:48" x14ac:dyDescent="0.2">
      <c r="A772" s="19">
        <v>787</v>
      </c>
      <c r="B772" s="1171" t="s">
        <v>3938</v>
      </c>
      <c r="C772" s="167" t="s">
        <v>3936</v>
      </c>
      <c r="D772" s="167" t="s">
        <v>1044</v>
      </c>
      <c r="E772" s="167" t="s">
        <v>2165</v>
      </c>
      <c r="F772" s="167" t="s">
        <v>2362</v>
      </c>
      <c r="G772" s="167" t="s">
        <v>1250</v>
      </c>
      <c r="H772" s="167" t="s">
        <v>3826</v>
      </c>
      <c r="I772" s="167" t="s">
        <v>3251</v>
      </c>
      <c r="J772" s="167" t="s">
        <v>3251</v>
      </c>
      <c r="K772" s="167" t="s">
        <v>3251</v>
      </c>
      <c r="L772" s="167" t="s">
        <v>3939</v>
      </c>
      <c r="M772" s="1086">
        <v>0</v>
      </c>
      <c r="N772" s="1086">
        <v>0</v>
      </c>
      <c r="O772" s="1086">
        <v>175260.39</v>
      </c>
      <c r="P772" s="1086">
        <v>61742.99</v>
      </c>
      <c r="Q772" s="1086">
        <v>0</v>
      </c>
      <c r="R772" s="1086">
        <v>0</v>
      </c>
      <c r="S772" s="1086">
        <v>0</v>
      </c>
      <c r="T772" s="1086">
        <v>19946.650000000001</v>
      </c>
      <c r="U772" s="1086">
        <v>113.56</v>
      </c>
      <c r="V772" s="1086">
        <v>0</v>
      </c>
      <c r="W772" s="1086">
        <v>0</v>
      </c>
      <c r="X772" s="1086">
        <v>0</v>
      </c>
      <c r="Y772" s="1086">
        <v>0</v>
      </c>
      <c r="Z772" s="1086">
        <v>0</v>
      </c>
      <c r="AA772" s="1086">
        <v>0</v>
      </c>
      <c r="AB772" s="1086">
        <v>0</v>
      </c>
      <c r="AC772" s="1086">
        <v>93457.19</v>
      </c>
      <c r="AD772" s="1086" t="s">
        <v>248</v>
      </c>
      <c r="AE772" s="1086" t="s">
        <v>3877</v>
      </c>
      <c r="AF772" s="1086">
        <f t="shared" si="56"/>
        <v>93457.190000000017</v>
      </c>
      <c r="AG772" s="1086">
        <f t="shared" si="57"/>
        <v>0</v>
      </c>
      <c r="AQ772" s="1086">
        <v>0</v>
      </c>
      <c r="AR772" s="1086">
        <v>0</v>
      </c>
      <c r="AS772" s="1086">
        <v>93457.19</v>
      </c>
      <c r="AT772" s="1086">
        <f t="shared" si="58"/>
        <v>0</v>
      </c>
      <c r="AV772" s="1150">
        <f t="shared" si="59"/>
        <v>81803.199999999997</v>
      </c>
    </row>
    <row r="773" spans="1:48" x14ac:dyDescent="0.2">
      <c r="A773" s="19">
        <v>788</v>
      </c>
      <c r="B773" t="s">
        <v>3940</v>
      </c>
      <c r="C773" t="s">
        <v>3936</v>
      </c>
      <c r="D773" t="s">
        <v>1047</v>
      </c>
      <c r="E773" t="s">
        <v>2092</v>
      </c>
      <c r="F773" t="s">
        <v>3949</v>
      </c>
      <c r="G773" s="167" t="s">
        <v>608</v>
      </c>
      <c r="H773" s="167" t="s">
        <v>3826</v>
      </c>
      <c r="I773" s="167" t="s">
        <v>3251</v>
      </c>
      <c r="J773" s="167" t="s">
        <v>3251</v>
      </c>
      <c r="K773" s="167" t="s">
        <v>3251</v>
      </c>
      <c r="L773" t="s">
        <v>3951</v>
      </c>
      <c r="M773" s="1086">
        <v>0</v>
      </c>
      <c r="N773" s="1086">
        <v>0</v>
      </c>
      <c r="O773" s="1086">
        <v>0</v>
      </c>
      <c r="P773" s="1086">
        <v>0</v>
      </c>
      <c r="Q773" s="1086">
        <v>0</v>
      </c>
      <c r="R773" s="1086">
        <v>0</v>
      </c>
      <c r="S773" s="1086">
        <v>0</v>
      </c>
      <c r="T773" s="1086">
        <v>0</v>
      </c>
      <c r="U773" s="1086">
        <v>0</v>
      </c>
      <c r="V773" s="1086">
        <v>0</v>
      </c>
      <c r="W773" s="1086">
        <v>0</v>
      </c>
      <c r="X773" s="1086">
        <v>0</v>
      </c>
      <c r="Y773" s="1086">
        <v>0</v>
      </c>
      <c r="Z773" s="1086">
        <v>0</v>
      </c>
      <c r="AA773" s="1086">
        <v>0</v>
      </c>
      <c r="AB773" s="1086">
        <v>0</v>
      </c>
      <c r="AC773" s="1086">
        <v>0</v>
      </c>
      <c r="AD773" s="1086" t="s">
        <v>608</v>
      </c>
      <c r="AE773" s="1086" t="s">
        <v>3878</v>
      </c>
      <c r="AF773" s="1086">
        <f t="shared" si="56"/>
        <v>0</v>
      </c>
      <c r="AG773" s="1086">
        <f t="shared" si="57"/>
        <v>0</v>
      </c>
      <c r="AQ773" s="1086">
        <v>0</v>
      </c>
      <c r="AR773" s="1086">
        <v>0</v>
      </c>
      <c r="AS773" s="1086">
        <v>0</v>
      </c>
      <c r="AT773" s="1086">
        <f t="shared" si="58"/>
        <v>0</v>
      </c>
      <c r="AV773" s="1150">
        <f t="shared" si="59"/>
        <v>0</v>
      </c>
    </row>
    <row r="774" spans="1:48" x14ac:dyDescent="0.2">
      <c r="A774" s="19">
        <v>789</v>
      </c>
      <c r="B774" t="s">
        <v>3941</v>
      </c>
      <c r="C774" t="s">
        <v>3936</v>
      </c>
      <c r="D774" t="s">
        <v>1040</v>
      </c>
      <c r="E774" t="s">
        <v>2105</v>
      </c>
      <c r="F774" t="s">
        <v>2305</v>
      </c>
      <c r="G774" s="167" t="s">
        <v>1250</v>
      </c>
      <c r="H774" s="167" t="s">
        <v>3826</v>
      </c>
      <c r="I774" s="167" t="s">
        <v>3251</v>
      </c>
      <c r="J774" s="167" t="s">
        <v>3251</v>
      </c>
      <c r="K774" s="167" t="s">
        <v>3251</v>
      </c>
      <c r="L774" t="s">
        <v>3952</v>
      </c>
      <c r="M774" s="1086">
        <v>256256.81</v>
      </c>
      <c r="N774" s="1086">
        <v>0</v>
      </c>
      <c r="O774" s="1086">
        <v>0</v>
      </c>
      <c r="P774" s="1086">
        <v>0</v>
      </c>
      <c r="Q774" s="1086">
        <v>0</v>
      </c>
      <c r="R774" s="1086">
        <v>0</v>
      </c>
      <c r="S774" s="1086">
        <v>0</v>
      </c>
      <c r="T774" s="1086">
        <v>0</v>
      </c>
      <c r="U774" s="1086">
        <v>0</v>
      </c>
      <c r="V774" s="1086">
        <v>0</v>
      </c>
      <c r="W774" s="1086">
        <v>0</v>
      </c>
      <c r="X774" s="1086">
        <v>0</v>
      </c>
      <c r="Y774" s="1086">
        <v>0</v>
      </c>
      <c r="Z774" s="1086">
        <v>0</v>
      </c>
      <c r="AA774" s="1086">
        <v>256256.81</v>
      </c>
      <c r="AB774" s="1086">
        <v>0</v>
      </c>
      <c r="AC774" s="1086">
        <v>0</v>
      </c>
      <c r="AD774" s="1086" t="s">
        <v>248</v>
      </c>
      <c r="AE774" s="1086" t="s">
        <v>3877</v>
      </c>
      <c r="AF774" s="1086">
        <f t="shared" si="56"/>
        <v>0</v>
      </c>
      <c r="AG774" s="1086">
        <f t="shared" si="57"/>
        <v>0</v>
      </c>
      <c r="AQ774" s="1086">
        <v>0</v>
      </c>
      <c r="AR774" s="1086">
        <v>0</v>
      </c>
      <c r="AS774" s="1086">
        <v>0</v>
      </c>
      <c r="AT774" s="1086">
        <f t="shared" si="58"/>
        <v>0</v>
      </c>
      <c r="AV774" s="1150">
        <f t="shared" si="59"/>
        <v>256256.81</v>
      </c>
    </row>
    <row r="775" spans="1:48" x14ac:dyDescent="0.2">
      <c r="A775" s="19">
        <v>790</v>
      </c>
      <c r="B775" t="s">
        <v>3942</v>
      </c>
      <c r="C775" t="s">
        <v>3936</v>
      </c>
      <c r="D775" t="s">
        <v>1046</v>
      </c>
      <c r="E775" t="s">
        <v>2152</v>
      </c>
      <c r="F775" t="s">
        <v>2349</v>
      </c>
      <c r="G775" s="167" t="s">
        <v>1250</v>
      </c>
      <c r="H775" s="167" t="s">
        <v>3825</v>
      </c>
      <c r="I775" t="s">
        <v>3960</v>
      </c>
      <c r="J775" t="s">
        <v>3398</v>
      </c>
      <c r="K775" t="s">
        <v>3961</v>
      </c>
      <c r="L775" t="s">
        <v>3953</v>
      </c>
      <c r="M775" s="1086">
        <v>1178530.23</v>
      </c>
      <c r="N775" s="1086">
        <v>0</v>
      </c>
      <c r="O775" s="1086">
        <v>3650100</v>
      </c>
      <c r="P775" s="1086">
        <v>327739.83</v>
      </c>
      <c r="Q775" s="1086">
        <v>12250</v>
      </c>
      <c r="R775" s="1086">
        <v>8154.37</v>
      </c>
      <c r="S775" s="1086">
        <v>263817.65000000002</v>
      </c>
      <c r="T775" s="1086">
        <v>36606.230000000003</v>
      </c>
      <c r="U775" s="1086">
        <v>3964463.82</v>
      </c>
      <c r="V775" s="1086">
        <v>0</v>
      </c>
      <c r="W775" s="1086">
        <v>0</v>
      </c>
      <c r="X775" s="1086">
        <v>0</v>
      </c>
      <c r="Y775" s="1086">
        <v>0</v>
      </c>
      <c r="Z775" s="1086">
        <v>0</v>
      </c>
      <c r="AA775" s="1086">
        <v>0</v>
      </c>
      <c r="AB775" s="1086">
        <v>0</v>
      </c>
      <c r="AC775" s="1086">
        <v>215598.33</v>
      </c>
      <c r="AD775" s="1086" t="s">
        <v>248</v>
      </c>
      <c r="AE775" s="1086" t="s">
        <v>3877</v>
      </c>
      <c r="AF775" s="1086">
        <f t="shared" ref="AF775:AF778" si="60">M775+N775+O775-(SUM(P775:AB775))-AQ775-AR775</f>
        <v>215598.33000000007</v>
      </c>
      <c r="AG775" s="1086">
        <f t="shared" ref="AG775:AG778" si="61">AC775-AF775</f>
        <v>0</v>
      </c>
      <c r="AQ775" s="1086">
        <v>0</v>
      </c>
      <c r="AR775" s="1086">
        <v>0</v>
      </c>
      <c r="AS775" s="1086">
        <v>215598.33</v>
      </c>
      <c r="AT775" s="1086">
        <f t="shared" si="58"/>
        <v>0</v>
      </c>
      <c r="AV775" s="1150">
        <f t="shared" si="59"/>
        <v>4613031.9000000004</v>
      </c>
    </row>
    <row r="776" spans="1:48" x14ac:dyDescent="0.2">
      <c r="A776" s="19">
        <v>791</v>
      </c>
      <c r="B776" t="s">
        <v>3943</v>
      </c>
      <c r="C776" t="s">
        <v>3936</v>
      </c>
      <c r="D776" t="s">
        <v>1032</v>
      </c>
      <c r="E776" t="s">
        <v>2255</v>
      </c>
      <c r="F776" t="s">
        <v>2449</v>
      </c>
      <c r="G776" s="167" t="s">
        <v>1250</v>
      </c>
      <c r="H776" s="167" t="s">
        <v>3825</v>
      </c>
      <c r="I776" t="s">
        <v>3960</v>
      </c>
      <c r="J776" t="s">
        <v>3332</v>
      </c>
      <c r="K776" t="s">
        <v>3962</v>
      </c>
      <c r="L776" t="s">
        <v>3954</v>
      </c>
      <c r="M776" s="1086">
        <v>529576</v>
      </c>
      <c r="N776" s="1086">
        <v>0</v>
      </c>
      <c r="O776" s="1086">
        <v>330000</v>
      </c>
      <c r="P776" s="1086">
        <v>0</v>
      </c>
      <c r="Q776" s="1086">
        <v>0</v>
      </c>
      <c r="R776" s="1086">
        <v>0</v>
      </c>
      <c r="S776" s="1086">
        <v>0</v>
      </c>
      <c r="T776" s="1086">
        <v>0</v>
      </c>
      <c r="U776" s="1086">
        <v>521313.01</v>
      </c>
      <c r="V776" s="1086">
        <v>0</v>
      </c>
      <c r="W776" s="1086">
        <v>0</v>
      </c>
      <c r="X776" s="1086">
        <v>0</v>
      </c>
      <c r="Y776" s="1086">
        <v>0</v>
      </c>
      <c r="Z776" s="1086">
        <v>0</v>
      </c>
      <c r="AA776" s="1086">
        <v>0</v>
      </c>
      <c r="AB776" s="1086">
        <v>0</v>
      </c>
      <c r="AC776" s="1086">
        <v>338262.99</v>
      </c>
      <c r="AD776" s="1086" t="s">
        <v>248</v>
      </c>
      <c r="AE776" s="1086" t="s">
        <v>3877</v>
      </c>
      <c r="AF776" s="1086">
        <f t="shared" si="60"/>
        <v>338262.99</v>
      </c>
      <c r="AG776" s="1086">
        <f t="shared" si="61"/>
        <v>0</v>
      </c>
      <c r="AQ776" s="1086">
        <v>0</v>
      </c>
      <c r="AR776" s="1086">
        <v>0</v>
      </c>
      <c r="AS776" s="1086">
        <v>338262.99</v>
      </c>
      <c r="AT776" s="1086">
        <f t="shared" si="58"/>
        <v>0</v>
      </c>
      <c r="AV776" s="1150">
        <f t="shared" si="59"/>
        <v>521313.01</v>
      </c>
    </row>
    <row r="777" spans="1:48" x14ac:dyDescent="0.2">
      <c r="A777" s="19">
        <v>792</v>
      </c>
      <c r="B777" t="s">
        <v>3944</v>
      </c>
      <c r="C777" t="s">
        <v>3936</v>
      </c>
      <c r="D777" t="s">
        <v>1047</v>
      </c>
      <c r="E777" t="s">
        <v>2186</v>
      </c>
      <c r="F777" t="s">
        <v>3950</v>
      </c>
      <c r="G777" s="167" t="s">
        <v>608</v>
      </c>
      <c r="H777" s="167" t="s">
        <v>3826</v>
      </c>
      <c r="I777" t="s">
        <v>3963</v>
      </c>
      <c r="J777" t="s">
        <v>3260</v>
      </c>
      <c r="K777" t="s">
        <v>3964</v>
      </c>
      <c r="L777" t="s">
        <v>3955</v>
      </c>
      <c r="M777" s="1086">
        <v>57770.49</v>
      </c>
      <c r="N777" s="1086">
        <v>0</v>
      </c>
      <c r="O777" s="1086">
        <v>1200000</v>
      </c>
      <c r="P777" s="1086">
        <v>0</v>
      </c>
      <c r="Q777" s="1086">
        <v>0</v>
      </c>
      <c r="R777" s="1086">
        <v>0</v>
      </c>
      <c r="S777" s="1086">
        <v>0</v>
      </c>
      <c r="T777" s="1086">
        <v>0</v>
      </c>
      <c r="U777" s="1086">
        <v>0</v>
      </c>
      <c r="V777" s="1086">
        <v>0</v>
      </c>
      <c r="W777" s="1086">
        <v>0</v>
      </c>
      <c r="X777" s="1086">
        <v>0</v>
      </c>
      <c r="Y777" s="1086">
        <v>0</v>
      </c>
      <c r="Z777" s="1086">
        <v>1200000</v>
      </c>
      <c r="AA777" s="1086">
        <v>0</v>
      </c>
      <c r="AB777" s="1086">
        <v>0</v>
      </c>
      <c r="AC777" s="1086">
        <v>57770.49</v>
      </c>
      <c r="AD777" s="1086" t="s">
        <v>248</v>
      </c>
      <c r="AE777" s="1086" t="s">
        <v>3877</v>
      </c>
      <c r="AF777" s="1086">
        <f t="shared" si="60"/>
        <v>57770.489999999991</v>
      </c>
      <c r="AG777" s="1086">
        <f t="shared" si="61"/>
        <v>0</v>
      </c>
      <c r="AQ777" s="1086">
        <v>0</v>
      </c>
      <c r="AR777" s="1086">
        <v>0</v>
      </c>
      <c r="AS777" s="1086">
        <v>57770.49</v>
      </c>
      <c r="AT777" s="1086">
        <f t="shared" si="58"/>
        <v>0</v>
      </c>
      <c r="AV777" s="1150">
        <f t="shared" si="59"/>
        <v>1200000</v>
      </c>
    </row>
    <row r="778" spans="1:48" x14ac:dyDescent="0.2">
      <c r="A778" s="19">
        <v>793</v>
      </c>
      <c r="B778" t="s">
        <v>3945</v>
      </c>
      <c r="C778" t="s">
        <v>3936</v>
      </c>
      <c r="D778" t="s">
        <v>1033</v>
      </c>
      <c r="E778" t="s">
        <v>2188</v>
      </c>
      <c r="F778" t="s">
        <v>2383</v>
      </c>
      <c r="G778" s="167" t="s">
        <v>1250</v>
      </c>
      <c r="H778" s="167" t="s">
        <v>3826</v>
      </c>
      <c r="I778" s="167" t="s">
        <v>3251</v>
      </c>
      <c r="J778" s="167" t="s">
        <v>3251</v>
      </c>
      <c r="K778" s="167" t="s">
        <v>3251</v>
      </c>
      <c r="L778" t="s">
        <v>3956</v>
      </c>
      <c r="M778" s="1086">
        <v>45260.39</v>
      </c>
      <c r="N778" s="1086">
        <v>0</v>
      </c>
      <c r="O778" s="1086">
        <v>0</v>
      </c>
      <c r="P778" s="1086">
        <v>0</v>
      </c>
      <c r="Q778" s="1086">
        <v>0</v>
      </c>
      <c r="R778" s="1086">
        <v>0</v>
      </c>
      <c r="S778" s="1086">
        <v>0</v>
      </c>
      <c r="T778" s="1086">
        <v>0</v>
      </c>
      <c r="U778" s="1086">
        <v>0</v>
      </c>
      <c r="V778" s="1086">
        <v>0</v>
      </c>
      <c r="W778" s="1086">
        <v>0</v>
      </c>
      <c r="X778" s="1086">
        <v>0</v>
      </c>
      <c r="Y778" s="1086">
        <v>0</v>
      </c>
      <c r="Z778" s="1086">
        <v>0</v>
      </c>
      <c r="AA778" s="1086">
        <v>45260.39</v>
      </c>
      <c r="AB778" s="1086">
        <v>0</v>
      </c>
      <c r="AC778" s="1086">
        <v>0</v>
      </c>
      <c r="AD778" s="1086" t="s">
        <v>248</v>
      </c>
      <c r="AE778" s="1086" t="s">
        <v>3877</v>
      </c>
      <c r="AF778" s="1086">
        <f t="shared" si="60"/>
        <v>0</v>
      </c>
      <c r="AG778" s="1086">
        <f t="shared" si="61"/>
        <v>0</v>
      </c>
      <c r="AQ778" s="1086">
        <v>0</v>
      </c>
      <c r="AR778" s="1086">
        <v>0</v>
      </c>
      <c r="AS778" s="1086">
        <v>0</v>
      </c>
      <c r="AT778" s="1086">
        <f t="shared" si="58"/>
        <v>0</v>
      </c>
      <c r="AV778" s="1150">
        <f t="shared" si="59"/>
        <v>45260.39</v>
      </c>
    </row>
    <row r="779" spans="1:48" x14ac:dyDescent="0.2">
      <c r="A779" s="19">
        <v>794</v>
      </c>
      <c r="B779" t="s">
        <v>3946</v>
      </c>
      <c r="C779" t="s">
        <v>3936</v>
      </c>
      <c r="D779" t="s">
        <v>1048</v>
      </c>
      <c r="E779" t="s">
        <v>2193</v>
      </c>
      <c r="F779" t="s">
        <v>2388</v>
      </c>
      <c r="G779" s="167" t="s">
        <v>1250</v>
      </c>
      <c r="H779" s="167" t="s">
        <v>3826</v>
      </c>
      <c r="I779" s="167" t="s">
        <v>3251</v>
      </c>
      <c r="J779" s="167" t="s">
        <v>3251</v>
      </c>
      <c r="K779" s="167" t="s">
        <v>3251</v>
      </c>
      <c r="L779" t="s">
        <v>3957</v>
      </c>
      <c r="M779" s="1086">
        <v>12346.18</v>
      </c>
      <c r="N779" s="1086">
        <v>0</v>
      </c>
      <c r="O779" s="1086">
        <v>0</v>
      </c>
      <c r="P779" s="1086">
        <v>0</v>
      </c>
      <c r="Q779" s="1086">
        <v>0</v>
      </c>
      <c r="R779" s="1086">
        <v>0</v>
      </c>
      <c r="S779" s="1086">
        <v>0</v>
      </c>
      <c r="T779" s="1086">
        <v>0</v>
      </c>
      <c r="U779" s="1086">
        <v>0</v>
      </c>
      <c r="V779" s="1086">
        <v>0</v>
      </c>
      <c r="W779" s="1086">
        <v>0</v>
      </c>
      <c r="X779" s="1086">
        <v>0</v>
      </c>
      <c r="Y779" s="1086">
        <v>0</v>
      </c>
      <c r="Z779" s="1086">
        <v>0</v>
      </c>
      <c r="AA779" s="1086">
        <v>12346.18</v>
      </c>
      <c r="AB779" s="1086">
        <v>0</v>
      </c>
      <c r="AC779" s="1086">
        <v>0</v>
      </c>
      <c r="AD779" s="1086" t="s">
        <v>248</v>
      </c>
      <c r="AE779" s="1086" t="s">
        <v>3877</v>
      </c>
      <c r="AF779" s="1086">
        <f t="shared" ref="AF779:AF781" si="62">M779+N779+O779-(SUM(P779:AB779))-AQ779-AR779</f>
        <v>0</v>
      </c>
      <c r="AG779" s="1086">
        <f t="shared" ref="AG779:AG781" si="63">AC779-AF779</f>
        <v>0</v>
      </c>
      <c r="AQ779" s="1086">
        <v>0</v>
      </c>
      <c r="AR779" s="1086">
        <v>0</v>
      </c>
      <c r="AS779" s="1086">
        <v>0</v>
      </c>
      <c r="AT779" s="1086">
        <f t="shared" ref="AT779:AT781" si="64">AC779-AS779</f>
        <v>0</v>
      </c>
      <c r="AV779" s="1150">
        <f t="shared" ref="AV779:AV781" si="65">SUM(P779:AB779)+AQ779+AR779</f>
        <v>12346.18</v>
      </c>
    </row>
    <row r="780" spans="1:48" x14ac:dyDescent="0.2">
      <c r="A780" s="19">
        <v>795</v>
      </c>
      <c r="B780" t="s">
        <v>3947</v>
      </c>
      <c r="C780" t="s">
        <v>3936</v>
      </c>
      <c r="D780" t="s">
        <v>1040</v>
      </c>
      <c r="E780" t="s">
        <v>2212</v>
      </c>
      <c r="F780" t="s">
        <v>2407</v>
      </c>
      <c r="G780" s="167" t="s">
        <v>1257</v>
      </c>
      <c r="H780" s="167" t="s">
        <v>3826</v>
      </c>
      <c r="I780" t="s">
        <v>3963</v>
      </c>
      <c r="J780" t="s">
        <v>3251</v>
      </c>
      <c r="K780" t="s">
        <v>3251</v>
      </c>
      <c r="L780" t="s">
        <v>3958</v>
      </c>
      <c r="M780" s="1086">
        <v>0</v>
      </c>
      <c r="N780" s="1086">
        <v>0</v>
      </c>
      <c r="O780" s="1086">
        <v>331346.18</v>
      </c>
      <c r="P780" s="1086">
        <v>244548.81</v>
      </c>
      <c r="Q780" s="1086">
        <v>0</v>
      </c>
      <c r="R780" s="1086">
        <v>0</v>
      </c>
      <c r="S780" s="1086">
        <v>0</v>
      </c>
      <c r="T780" s="1086">
        <v>81466.740000000005</v>
      </c>
      <c r="U780" s="1086">
        <v>908.45</v>
      </c>
      <c r="V780" s="1086">
        <v>0</v>
      </c>
      <c r="W780" s="1086">
        <v>0</v>
      </c>
      <c r="X780" s="1086">
        <v>0</v>
      </c>
      <c r="Y780" s="1086">
        <v>0</v>
      </c>
      <c r="Z780" s="1086">
        <v>0</v>
      </c>
      <c r="AA780" s="1086">
        <v>0</v>
      </c>
      <c r="AB780" s="1086">
        <v>0</v>
      </c>
      <c r="AC780" s="1086">
        <v>4422.18</v>
      </c>
      <c r="AD780" s="1086" t="s">
        <v>248</v>
      </c>
      <c r="AE780" s="1086" t="s">
        <v>3877</v>
      </c>
      <c r="AF780" s="1086">
        <f t="shared" si="62"/>
        <v>4422.179999999993</v>
      </c>
      <c r="AG780" s="1086">
        <f t="shared" si="63"/>
        <v>7.2759576141834259E-12</v>
      </c>
      <c r="AQ780" s="1086">
        <v>0</v>
      </c>
      <c r="AR780" s="1086">
        <v>0</v>
      </c>
      <c r="AS780" s="1086">
        <v>4422.18</v>
      </c>
      <c r="AT780" s="1086">
        <f t="shared" si="64"/>
        <v>0</v>
      </c>
      <c r="AV780" s="1150">
        <f t="shared" si="65"/>
        <v>326924</v>
      </c>
    </row>
    <row r="781" spans="1:48" x14ac:dyDescent="0.2">
      <c r="A781" s="19">
        <v>796</v>
      </c>
      <c r="B781" t="s">
        <v>3948</v>
      </c>
      <c r="C781" t="s">
        <v>3936</v>
      </c>
      <c r="D781" t="s">
        <v>1040</v>
      </c>
      <c r="E781" t="s">
        <v>2212</v>
      </c>
      <c r="F781" t="s">
        <v>2407</v>
      </c>
      <c r="G781" s="167" t="s">
        <v>1257</v>
      </c>
      <c r="H781" s="167" t="s">
        <v>3826</v>
      </c>
      <c r="I781" t="s">
        <v>3963</v>
      </c>
      <c r="J781" t="s">
        <v>3251</v>
      </c>
      <c r="K781" t="s">
        <v>3251</v>
      </c>
      <c r="L781" t="s">
        <v>3959</v>
      </c>
      <c r="M781" s="1086">
        <v>0</v>
      </c>
      <c r="N781" s="1086">
        <v>0</v>
      </c>
      <c r="O781" s="1086">
        <v>552256.81000000006</v>
      </c>
      <c r="P781" s="1086">
        <v>242131.33</v>
      </c>
      <c r="Q781" s="1086">
        <v>0</v>
      </c>
      <c r="R781" s="1086">
        <v>0</v>
      </c>
      <c r="S781" s="1086">
        <v>0</v>
      </c>
      <c r="T781" s="1086">
        <v>55721.64</v>
      </c>
      <c r="U781" s="1086">
        <v>17665.71</v>
      </c>
      <c r="V781" s="1086">
        <v>0</v>
      </c>
      <c r="W781" s="1086">
        <v>0</v>
      </c>
      <c r="X781" s="1086">
        <v>0</v>
      </c>
      <c r="Y781" s="1086">
        <v>0</v>
      </c>
      <c r="Z781" s="1086">
        <v>0</v>
      </c>
      <c r="AA781" s="1086">
        <v>0</v>
      </c>
      <c r="AB781" s="1086">
        <v>0</v>
      </c>
      <c r="AC781" s="1086">
        <v>236738.13</v>
      </c>
      <c r="AD781" s="1086" t="s">
        <v>248</v>
      </c>
      <c r="AE781" s="1086" t="s">
        <v>3877</v>
      </c>
      <c r="AF781" s="1086">
        <f t="shared" si="62"/>
        <v>236738.13000000006</v>
      </c>
      <c r="AG781" s="1086">
        <f t="shared" si="63"/>
        <v>0</v>
      </c>
      <c r="AQ781" s="1086">
        <v>0</v>
      </c>
      <c r="AR781" s="1086">
        <v>0</v>
      </c>
      <c r="AS781" s="1086">
        <v>236738.13</v>
      </c>
      <c r="AT781" s="1086">
        <f t="shared" si="64"/>
        <v>0</v>
      </c>
      <c r="AV781" s="1150">
        <f t="shared" si="65"/>
        <v>315518.68</v>
      </c>
    </row>
  </sheetData>
  <sheetProtection algorithmName="SHA-512" hashValue="LdH5PBDWO7ZizjBDDVteuJgv3r5Y0FS+oHgVcpZu0JuXUmlABjtI1e3z9lV4hkfwev/zBFGZtt8ikU7iese6aw==" saltValue="rfbHofUiuaDJ1WuXZMRcCQ==" spinCount="100000" sheet="1" objects="1" scenarios="1"/>
  <autoFilter ref="A5:AZ781"/>
  <conditionalFormatting sqref="B785:B1048576 B1:B781">
    <cfRule type="duplicateValues" dxfId="0" priority="125"/>
  </conditionalFormatting>
  <pageMargins left="0.7" right="0.7" top="0.75" bottom="0.75" header="0.3" footer="0.3"/>
  <pageSetup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pageSetUpPr fitToPage="1"/>
  </sheetPr>
  <dimension ref="A1:R57"/>
  <sheetViews>
    <sheetView zoomScale="80" zoomScaleNormal="80" workbookViewId="0">
      <selection activeCell="H32" sqref="H32"/>
    </sheetView>
  </sheetViews>
  <sheetFormatPr defaultColWidth="9.7109375" defaultRowHeight="12.75" x14ac:dyDescent="0.2"/>
  <cols>
    <col min="1" max="1" width="5" style="325" customWidth="1"/>
    <col min="2" max="2" width="21.7109375" style="325" customWidth="1"/>
    <col min="3" max="3" width="2.42578125" style="325" customWidth="1"/>
    <col min="4" max="4" width="5.7109375" style="325" customWidth="1"/>
    <col min="5" max="5" width="1.85546875" style="325" customWidth="1"/>
    <col min="6" max="6" width="10.5703125" style="325" bestFit="1" customWidth="1"/>
    <col min="7" max="7" width="2.28515625" style="325" customWidth="1"/>
    <col min="8" max="8" width="16.7109375" style="325" customWidth="1"/>
    <col min="9" max="9" width="1.7109375" style="325" customWidth="1"/>
    <col min="10" max="10" width="1.5703125" style="325" customWidth="1"/>
    <col min="11" max="11" width="16.7109375" style="325" customWidth="1"/>
    <col min="12" max="12" width="3.7109375" style="325" customWidth="1"/>
    <col min="13" max="13" width="16.7109375" style="325" customWidth="1"/>
    <col min="14" max="14" width="3.85546875" style="325" customWidth="1"/>
    <col min="15" max="15" width="16.7109375" style="325" customWidth="1"/>
    <col min="16" max="19" width="9.85546875" style="325" customWidth="1"/>
    <col min="20" max="16384" width="9.7109375" style="325"/>
  </cols>
  <sheetData>
    <row r="1" spans="2:16" ht="26.25" customHeight="1" thickBot="1" x14ac:dyDescent="0.25">
      <c r="B1" s="1534" t="s">
        <v>1164</v>
      </c>
      <c r="C1" s="1534"/>
      <c r="D1" s="1534"/>
      <c r="E1" s="1534"/>
      <c r="F1" s="1534"/>
      <c r="G1" s="1534"/>
      <c r="H1" s="1534"/>
      <c r="I1" s="1534"/>
      <c r="J1" s="1534"/>
      <c r="K1" s="1534"/>
      <c r="L1" s="1534"/>
      <c r="M1" s="1534"/>
      <c r="N1" s="1534"/>
      <c r="O1" s="1534"/>
    </row>
    <row r="2" spans="2:16" x14ac:dyDescent="0.2">
      <c r="B2" s="1535"/>
      <c r="C2" s="1536"/>
      <c r="D2" s="1536"/>
      <c r="E2" s="1536"/>
      <c r="F2" s="1536"/>
      <c r="G2" s="1536"/>
      <c r="H2" s="1536"/>
      <c r="I2" s="1536"/>
      <c r="J2" s="1536"/>
      <c r="K2" s="1541" t="s">
        <v>1163</v>
      </c>
      <c r="L2" s="1541"/>
      <c r="M2" s="1541"/>
      <c r="N2" s="1541"/>
      <c r="O2" s="1542"/>
    </row>
    <row r="3" spans="2:16" ht="32.25" customHeight="1" thickBot="1" x14ac:dyDescent="0.25">
      <c r="B3" s="1537"/>
      <c r="C3" s="1538"/>
      <c r="D3" s="1538"/>
      <c r="E3" s="1538"/>
      <c r="F3" s="1538"/>
      <c r="G3" s="1538"/>
      <c r="H3" s="1538"/>
      <c r="I3" s="1538"/>
      <c r="J3" s="1538"/>
      <c r="K3" s="1543"/>
      <c r="L3" s="1543"/>
      <c r="M3" s="1543"/>
      <c r="N3" s="1543"/>
      <c r="O3" s="1544"/>
    </row>
    <row r="4" spans="2:16" ht="17.25" customHeight="1" thickBot="1" x14ac:dyDescent="0.25">
      <c r="B4" s="1537"/>
      <c r="C4" s="1538"/>
      <c r="D4" s="1538"/>
      <c r="E4" s="1538"/>
      <c r="F4" s="1538"/>
      <c r="G4" s="1538"/>
      <c r="H4" s="1538"/>
      <c r="I4" s="1538"/>
      <c r="J4" s="1538"/>
      <c r="K4" s="909" t="s">
        <v>1162</v>
      </c>
      <c r="L4" s="908"/>
      <c r="M4" s="909" t="s">
        <v>1161</v>
      </c>
      <c r="N4" s="908" t="s">
        <v>1165</v>
      </c>
      <c r="O4" s="907"/>
    </row>
    <row r="5" spans="2:16" ht="17.25" customHeight="1" thickBot="1" x14ac:dyDescent="0.25">
      <c r="B5" s="1539"/>
      <c r="C5" s="1540"/>
      <c r="D5" s="1540"/>
      <c r="E5" s="1540"/>
      <c r="F5" s="1540"/>
      <c r="G5" s="1540"/>
      <c r="H5" s="1540"/>
      <c r="I5" s="1540"/>
      <c r="J5" s="1540"/>
      <c r="K5" s="1545"/>
      <c r="L5" s="1545"/>
      <c r="M5" s="1545"/>
      <c r="N5" s="1545"/>
      <c r="O5" s="1546"/>
    </row>
    <row r="6" spans="2:16" x14ac:dyDescent="0.2">
      <c r="B6" s="1547"/>
      <c r="C6" s="1547"/>
      <c r="D6" s="1547"/>
      <c r="E6" s="1547"/>
      <c r="F6" s="1547"/>
      <c r="G6" s="1547"/>
      <c r="H6" s="1547"/>
      <c r="I6" s="881"/>
      <c r="J6" s="881"/>
      <c r="K6" s="881"/>
      <c r="L6" s="881"/>
      <c r="M6" s="881"/>
      <c r="N6" s="881"/>
      <c r="O6" s="881"/>
    </row>
    <row r="7" spans="2:16" ht="18.75" customHeight="1" x14ac:dyDescent="0.2">
      <c r="B7" s="889" t="s">
        <v>229</v>
      </c>
      <c r="C7" s="889"/>
      <c r="D7" s="889" t="s">
        <v>1160</v>
      </c>
      <c r="E7" s="904"/>
      <c r="F7" s="889" t="s">
        <v>1159</v>
      </c>
      <c r="G7" s="906"/>
      <c r="H7" s="889" t="s">
        <v>1158</v>
      </c>
      <c r="I7" s="905"/>
      <c r="J7" s="905"/>
      <c r="K7" s="889" t="s">
        <v>1157</v>
      </c>
      <c r="L7" s="904"/>
      <c r="M7" s="889" t="s">
        <v>1156</v>
      </c>
      <c r="N7" s="884"/>
      <c r="O7" s="889" t="s">
        <v>1155</v>
      </c>
    </row>
    <row r="8" spans="2:16" ht="18.75" customHeight="1" x14ac:dyDescent="0.2">
      <c r="B8" s="903"/>
      <c r="C8" s="901"/>
      <c r="D8" s="910" t="str">
        <f>LEFT('SUMMARY FORM'!A2,4)</f>
        <v>FY21</v>
      </c>
      <c r="E8" s="425"/>
      <c r="F8" s="910">
        <f>'SUMMARY FORM'!D8</f>
        <v>0</v>
      </c>
      <c r="G8" s="425"/>
      <c r="H8" s="899">
        <f>'SUMMARY FORM'!J6</f>
        <v>0</v>
      </c>
      <c r="I8" s="890"/>
      <c r="J8" s="902"/>
      <c r="K8" s="910" t="str">
        <f>IFERROR(LEFT('SUMMARY FORM'!J4,4),"")</f>
        <v/>
      </c>
      <c r="L8" s="901"/>
      <c r="M8" s="899">
        <f>'SUMMARY FORM'!L6</f>
        <v>0</v>
      </c>
      <c r="N8" s="900"/>
      <c r="O8" s="899" t="str">
        <f>'SUMMARY FORM'!N6</f>
        <v>NEW</v>
      </c>
    </row>
    <row r="9" spans="2:16" x14ac:dyDescent="0.2">
      <c r="B9" s="1530"/>
      <c r="C9" s="1530"/>
      <c r="D9" s="1530"/>
      <c r="E9" s="1530"/>
      <c r="F9" s="1530"/>
      <c r="G9" s="1530"/>
      <c r="H9" s="1530"/>
      <c r="I9" s="868"/>
      <c r="J9" s="868"/>
      <c r="K9" s="1549"/>
      <c r="L9" s="1549"/>
      <c r="M9" s="1549"/>
      <c r="N9" s="1549"/>
      <c r="O9" s="1549"/>
      <c r="P9" s="896"/>
    </row>
    <row r="10" spans="2:16" ht="18.75" customHeight="1" x14ac:dyDescent="0.2">
      <c r="B10" s="1550" t="s">
        <v>1154</v>
      </c>
      <c r="C10" s="1551"/>
      <c r="D10" s="1552">
        <f>'SUMMARY FORM'!D10</f>
        <v>0</v>
      </c>
      <c r="E10" s="1553"/>
      <c r="F10" s="1553"/>
      <c r="G10" s="1553"/>
      <c r="H10" s="1554"/>
      <c r="I10" s="868"/>
      <c r="J10" s="868"/>
      <c r="K10" s="890"/>
      <c r="L10" s="890"/>
      <c r="M10" s="890"/>
      <c r="N10" s="890"/>
      <c r="O10" s="890"/>
      <c r="P10" s="896"/>
    </row>
    <row r="11" spans="2:16" x14ac:dyDescent="0.2">
      <c r="B11" s="1555"/>
      <c r="C11" s="1555"/>
      <c r="D11" s="1555"/>
      <c r="E11" s="1555"/>
      <c r="F11" s="1555"/>
      <c r="G11" s="1555"/>
      <c r="H11" s="1555"/>
      <c r="I11" s="868"/>
      <c r="J11" s="868"/>
      <c r="K11" s="890"/>
      <c r="L11" s="890"/>
      <c r="M11" s="890"/>
      <c r="N11" s="890"/>
      <c r="O11" s="890"/>
      <c r="P11" s="896"/>
    </row>
    <row r="12" spans="2:16" ht="18.75" customHeight="1" x14ac:dyDescent="0.2">
      <c r="B12" s="1556" t="s">
        <v>1153</v>
      </c>
      <c r="C12" s="1557"/>
      <c r="D12" s="1558">
        <f>'SUMMARY FORM'!J12</f>
        <v>0</v>
      </c>
      <c r="E12" s="1559"/>
      <c r="F12" s="1559"/>
      <c r="G12" s="1559"/>
      <c r="H12" s="1560"/>
      <c r="I12" s="897"/>
      <c r="J12" s="897"/>
      <c r="K12" s="898" t="s">
        <v>1152</v>
      </c>
      <c r="L12" s="897"/>
      <c r="M12" s="1531">
        <f>'SUMMARY FORM'!J10</f>
        <v>0</v>
      </c>
      <c r="N12" s="1532"/>
      <c r="O12" s="1533"/>
    </row>
    <row r="13" spans="2:16" x14ac:dyDescent="0.2">
      <c r="B13" s="1530"/>
      <c r="C13" s="1530"/>
      <c r="D13" s="1530"/>
      <c r="E13" s="1530"/>
      <c r="F13" s="1530"/>
      <c r="G13" s="1530"/>
      <c r="H13" s="1530"/>
      <c r="I13" s="897"/>
      <c r="J13" s="897"/>
      <c r="K13" s="1548"/>
      <c r="L13" s="1548"/>
      <c r="M13" s="1548"/>
      <c r="N13" s="1548"/>
      <c r="O13" s="1548"/>
      <c r="P13" s="896"/>
    </row>
    <row r="14" spans="2:16" s="891" customFormat="1" x14ac:dyDescent="0.2">
      <c r="B14" s="1561"/>
      <c r="C14" s="1561"/>
      <c r="D14" s="1561"/>
      <c r="E14" s="1561"/>
      <c r="F14" s="1561"/>
      <c r="G14" s="894"/>
      <c r="H14" s="893" t="s">
        <v>2</v>
      </c>
      <c r="I14" s="895"/>
      <c r="J14" s="894"/>
      <c r="K14" s="893" t="s">
        <v>3</v>
      </c>
      <c r="L14" s="865"/>
      <c r="M14" s="893" t="s">
        <v>4</v>
      </c>
      <c r="N14" s="884"/>
      <c r="O14" s="892" t="s">
        <v>5</v>
      </c>
    </row>
    <row r="15" spans="2:16" x14ac:dyDescent="0.2">
      <c r="B15" s="1561"/>
      <c r="C15" s="1561"/>
      <c r="D15" s="1561"/>
      <c r="E15" s="1561"/>
      <c r="F15" s="1561"/>
      <c r="G15" s="868"/>
      <c r="H15" s="889" t="s">
        <v>1151</v>
      </c>
      <c r="I15" s="890"/>
      <c r="J15" s="886"/>
      <c r="K15" s="889" t="s">
        <v>634</v>
      </c>
      <c r="L15" s="868"/>
      <c r="M15" s="889" t="s">
        <v>1150</v>
      </c>
      <c r="N15" s="884"/>
      <c r="O15" s="888" t="s">
        <v>1149</v>
      </c>
    </row>
    <row r="16" spans="2:16" ht="15.75" thickBot="1" x14ac:dyDescent="0.25">
      <c r="B16" s="1562" t="s">
        <v>677</v>
      </c>
      <c r="C16" s="1562"/>
      <c r="D16" s="1562"/>
      <c r="E16" s="864"/>
      <c r="F16" s="880" t="s">
        <v>1148</v>
      </c>
      <c r="G16" s="868"/>
      <c r="H16" s="885" t="s">
        <v>1147</v>
      </c>
      <c r="I16" s="887"/>
      <c r="J16" s="886"/>
      <c r="K16" s="885" t="s">
        <v>539</v>
      </c>
      <c r="L16" s="868" t="s">
        <v>1146</v>
      </c>
      <c r="M16" s="885" t="s">
        <v>1145</v>
      </c>
      <c r="N16" s="884"/>
      <c r="O16" s="883" t="s">
        <v>539</v>
      </c>
    </row>
    <row r="17" spans="1:18" ht="18" customHeight="1" x14ac:dyDescent="0.2">
      <c r="A17" s="325">
        <v>1</v>
      </c>
      <c r="B17" s="1565" t="s">
        <v>1144</v>
      </c>
      <c r="C17" s="1565"/>
      <c r="D17" s="1565"/>
      <c r="E17" s="864"/>
      <c r="F17" s="882" t="s">
        <v>1143</v>
      </c>
      <c r="G17" s="868"/>
      <c r="H17" s="875"/>
      <c r="I17" s="865"/>
      <c r="J17" s="872"/>
      <c r="K17" s="875"/>
      <c r="L17" s="868"/>
      <c r="M17" s="875"/>
      <c r="N17" s="864"/>
      <c r="O17" s="877">
        <f t="shared" ref="O17:O23" si="0">K17+M17</f>
        <v>0</v>
      </c>
      <c r="Q17" s="881"/>
      <c r="R17" s="881"/>
    </row>
    <row r="18" spans="1:18" ht="18" customHeight="1" x14ac:dyDescent="0.2">
      <c r="A18" s="325">
        <v>2</v>
      </c>
      <c r="B18" s="1564" t="s">
        <v>921</v>
      </c>
      <c r="C18" s="1564"/>
      <c r="D18" s="1564"/>
      <c r="E18" s="864"/>
      <c r="F18" s="878">
        <v>4000</v>
      </c>
      <c r="G18" s="868"/>
      <c r="H18" s="875"/>
      <c r="I18" s="865"/>
      <c r="J18" s="872"/>
      <c r="K18" s="875"/>
      <c r="L18" s="868"/>
      <c r="M18" s="875"/>
      <c r="N18" s="864"/>
      <c r="O18" s="877">
        <f t="shared" si="0"/>
        <v>0</v>
      </c>
      <c r="Q18" s="881"/>
      <c r="R18" s="881"/>
    </row>
    <row r="19" spans="1:18" ht="18" customHeight="1" x14ac:dyDescent="0.2">
      <c r="A19" s="325">
        <v>3</v>
      </c>
      <c r="B19" s="1564" t="s">
        <v>922</v>
      </c>
      <c r="C19" s="1564"/>
      <c r="D19" s="1564"/>
      <c r="E19" s="864"/>
      <c r="F19" s="878">
        <v>4300</v>
      </c>
      <c r="G19" s="868"/>
      <c r="H19" s="875"/>
      <c r="I19" s="865"/>
      <c r="J19" s="872"/>
      <c r="K19" s="875"/>
      <c r="L19" s="868"/>
      <c r="M19" s="875"/>
      <c r="N19" s="864"/>
      <c r="O19" s="877">
        <f t="shared" si="0"/>
        <v>0</v>
      </c>
      <c r="Q19" s="881"/>
      <c r="R19" s="881"/>
    </row>
    <row r="20" spans="1:18" ht="18" customHeight="1" x14ac:dyDescent="0.2">
      <c r="A20" s="325">
        <v>4</v>
      </c>
      <c r="B20" s="1564" t="s">
        <v>1142</v>
      </c>
      <c r="C20" s="1564"/>
      <c r="D20" s="1564"/>
      <c r="E20" s="864"/>
      <c r="F20" s="878">
        <v>4600</v>
      </c>
      <c r="G20" s="868"/>
      <c r="H20" s="875"/>
      <c r="I20" s="865"/>
      <c r="J20" s="872"/>
      <c r="K20" s="875"/>
      <c r="L20" s="868"/>
      <c r="M20" s="875"/>
      <c r="N20" s="864"/>
      <c r="O20" s="877">
        <f t="shared" si="0"/>
        <v>0</v>
      </c>
      <c r="Q20" s="881"/>
      <c r="R20" s="881"/>
    </row>
    <row r="21" spans="1:18" ht="18" customHeight="1" x14ac:dyDescent="0.2">
      <c r="A21" s="325">
        <v>5</v>
      </c>
      <c r="B21" s="1564"/>
      <c r="C21" s="1564"/>
      <c r="D21" s="1564"/>
      <c r="E21" s="864"/>
      <c r="F21" s="878"/>
      <c r="G21" s="868"/>
      <c r="H21" s="875"/>
      <c r="I21" s="865"/>
      <c r="J21" s="872"/>
      <c r="K21" s="875"/>
      <c r="L21" s="868"/>
      <c r="M21" s="875"/>
      <c r="N21" s="864"/>
      <c r="O21" s="877">
        <f t="shared" si="0"/>
        <v>0</v>
      </c>
      <c r="Q21" s="881"/>
      <c r="R21" s="881"/>
    </row>
    <row r="22" spans="1:18" ht="18" customHeight="1" x14ac:dyDescent="0.2">
      <c r="A22" s="325">
        <v>6</v>
      </c>
      <c r="B22" s="1564"/>
      <c r="C22" s="1564"/>
      <c r="D22" s="1564"/>
      <c r="E22" s="864"/>
      <c r="F22" s="878"/>
      <c r="G22" s="868"/>
      <c r="H22" s="875"/>
      <c r="I22" s="865"/>
      <c r="J22" s="872"/>
      <c r="K22" s="875"/>
      <c r="L22" s="868"/>
      <c r="M22" s="875"/>
      <c r="N22" s="864"/>
      <c r="O22" s="877">
        <f t="shared" si="0"/>
        <v>0</v>
      </c>
      <c r="Q22" s="881"/>
      <c r="R22" s="881"/>
    </row>
    <row r="23" spans="1:18" ht="18" customHeight="1" x14ac:dyDescent="0.2">
      <c r="A23" s="325">
        <v>7</v>
      </c>
      <c r="B23" s="1564"/>
      <c r="C23" s="1564"/>
      <c r="D23" s="1564"/>
      <c r="E23" s="864"/>
      <c r="F23" s="878"/>
      <c r="G23" s="868"/>
      <c r="H23" s="875"/>
      <c r="I23" s="865"/>
      <c r="J23" s="872"/>
      <c r="K23" s="875"/>
      <c r="L23" s="868"/>
      <c r="M23" s="875"/>
      <c r="N23" s="864"/>
      <c r="O23" s="877">
        <f t="shared" si="0"/>
        <v>0</v>
      </c>
      <c r="Q23" s="881"/>
      <c r="R23" s="881"/>
    </row>
    <row r="24" spans="1:18" ht="18" customHeight="1" x14ac:dyDescent="0.2">
      <c r="B24" s="1566" t="s">
        <v>1141</v>
      </c>
      <c r="C24" s="1566"/>
      <c r="D24" s="1566"/>
      <c r="E24" s="1566"/>
      <c r="F24" s="1566"/>
      <c r="G24" s="868"/>
      <c r="H24" s="863">
        <f>SUM(H17:H23)</f>
        <v>0</v>
      </c>
      <c r="I24" s="865"/>
      <c r="J24" s="872"/>
      <c r="K24" s="863">
        <f>SUM(K17:K23)</f>
        <v>0</v>
      </c>
      <c r="L24" s="868"/>
      <c r="M24" s="863">
        <f>SUM(M17:M23)</f>
        <v>0</v>
      </c>
      <c r="N24" s="864"/>
      <c r="O24" s="863">
        <f>SUM(O17:O23)</f>
        <v>0</v>
      </c>
    </row>
    <row r="25" spans="1:18" ht="18" customHeight="1" x14ac:dyDescent="0.2">
      <c r="B25" s="1561"/>
      <c r="C25" s="1561"/>
      <c r="D25" s="1561"/>
      <c r="E25" s="1561"/>
      <c r="F25" s="1561"/>
      <c r="G25" s="868"/>
      <c r="H25" s="865"/>
      <c r="I25" s="866"/>
      <c r="J25" s="865"/>
      <c r="K25" s="865"/>
      <c r="L25" s="865"/>
      <c r="M25" s="865"/>
      <c r="N25" s="865"/>
      <c r="O25" s="865"/>
    </row>
    <row r="26" spans="1:18" ht="18" customHeight="1" thickBot="1" x14ac:dyDescent="0.25">
      <c r="B26" s="1562" t="s">
        <v>1140</v>
      </c>
      <c r="C26" s="1562"/>
      <c r="D26" s="1562"/>
      <c r="E26" s="864"/>
      <c r="F26" s="880" t="s">
        <v>1139</v>
      </c>
      <c r="G26" s="868"/>
      <c r="H26" s="868"/>
      <c r="I26" s="868"/>
      <c r="J26" s="872"/>
      <c r="K26" s="868"/>
      <c r="L26" s="868"/>
      <c r="M26" s="868"/>
      <c r="N26" s="868"/>
      <c r="O26" s="865"/>
    </row>
    <row r="27" spans="1:18" ht="18" customHeight="1" x14ac:dyDescent="0.2">
      <c r="A27" s="325">
        <v>2</v>
      </c>
      <c r="B27" s="1563" t="s">
        <v>1138</v>
      </c>
      <c r="C27" s="1563"/>
      <c r="D27" s="1563"/>
      <c r="E27" s="874"/>
      <c r="F27" s="876">
        <v>5000</v>
      </c>
      <c r="G27" s="867"/>
      <c r="H27" s="875">
        <f>'SUMMARY FORM'!N34</f>
        <v>0</v>
      </c>
      <c r="I27" s="865"/>
      <c r="J27" s="872"/>
      <c r="K27" s="875"/>
      <c r="L27" s="868"/>
      <c r="M27" s="875"/>
      <c r="N27" s="864"/>
      <c r="O27" s="879">
        <f t="shared" ref="O27:O37" si="1">K27+M27</f>
        <v>0</v>
      </c>
    </row>
    <row r="28" spans="1:18" ht="18" customHeight="1" x14ac:dyDescent="0.2">
      <c r="A28" s="325">
        <v>3</v>
      </c>
      <c r="B28" s="1563" t="s">
        <v>1137</v>
      </c>
      <c r="C28" s="1563"/>
      <c r="D28" s="1563"/>
      <c r="E28" s="874"/>
      <c r="F28" s="876">
        <v>5400</v>
      </c>
      <c r="G28" s="867"/>
      <c r="H28" s="875">
        <f>'SUMMARY FORM'!N36</f>
        <v>0</v>
      </c>
      <c r="I28" s="865"/>
      <c r="J28" s="872"/>
      <c r="K28" s="875"/>
      <c r="L28" s="868"/>
      <c r="M28" s="875"/>
      <c r="N28" s="864"/>
      <c r="O28" s="877">
        <f t="shared" si="1"/>
        <v>0</v>
      </c>
    </row>
    <row r="29" spans="1:18" ht="18" customHeight="1" x14ac:dyDescent="0.2">
      <c r="A29" s="325">
        <v>4</v>
      </c>
      <c r="B29" s="1563" t="s">
        <v>1136</v>
      </c>
      <c r="C29" s="1563"/>
      <c r="D29" s="1563"/>
      <c r="E29" s="874"/>
      <c r="F29" s="876">
        <v>5500</v>
      </c>
      <c r="G29" s="867"/>
      <c r="H29" s="875">
        <f>'SUMMARY FORM'!N39</f>
        <v>0</v>
      </c>
      <c r="I29" s="865"/>
      <c r="J29" s="872"/>
      <c r="K29" s="875"/>
      <c r="L29" s="868"/>
      <c r="M29" s="875"/>
      <c r="N29" s="864"/>
      <c r="O29" s="877">
        <f t="shared" si="1"/>
        <v>0</v>
      </c>
    </row>
    <row r="30" spans="1:18" ht="18" customHeight="1" x14ac:dyDescent="0.2">
      <c r="A30" s="325">
        <v>5</v>
      </c>
      <c r="B30" s="1563" t="s">
        <v>1135</v>
      </c>
      <c r="C30" s="1563"/>
      <c r="D30" s="1563"/>
      <c r="E30" s="874"/>
      <c r="F30" s="876">
        <v>5700</v>
      </c>
      <c r="G30" s="867"/>
      <c r="H30" s="875">
        <f>'SUMMARY FORM'!N41</f>
        <v>0</v>
      </c>
      <c r="I30" s="865"/>
      <c r="J30" s="872"/>
      <c r="K30" s="875"/>
      <c r="L30" s="868"/>
      <c r="M30" s="875"/>
      <c r="N30" s="864"/>
      <c r="O30" s="877">
        <f t="shared" si="1"/>
        <v>0</v>
      </c>
    </row>
    <row r="31" spans="1:18" ht="18" customHeight="1" x14ac:dyDescent="0.2">
      <c r="A31" s="325">
        <v>6</v>
      </c>
      <c r="B31" s="1563" t="s">
        <v>1134</v>
      </c>
      <c r="C31" s="1563"/>
      <c r="D31" s="1563"/>
      <c r="E31" s="874"/>
      <c r="F31" s="876">
        <v>5900</v>
      </c>
      <c r="G31" s="867"/>
      <c r="H31" s="875">
        <f>'SUMMARY FORM'!N43</f>
        <v>0</v>
      </c>
      <c r="I31" s="865"/>
      <c r="J31" s="872"/>
      <c r="K31" s="875"/>
      <c r="L31" s="868"/>
      <c r="M31" s="875"/>
      <c r="N31" s="864"/>
      <c r="O31" s="877">
        <f t="shared" si="1"/>
        <v>0</v>
      </c>
    </row>
    <row r="32" spans="1:18" ht="18" customHeight="1" x14ac:dyDescent="0.2">
      <c r="A32" s="325">
        <v>7</v>
      </c>
      <c r="B32" s="1563" t="s">
        <v>1133</v>
      </c>
      <c r="C32" s="1563"/>
      <c r="D32" s="1563"/>
      <c r="E32" s="874"/>
      <c r="F32" s="876">
        <v>6000</v>
      </c>
      <c r="G32" s="867"/>
      <c r="H32" s="875">
        <f>'SUMMARY FORM'!N45</f>
        <v>0</v>
      </c>
      <c r="I32" s="865"/>
      <c r="J32" s="872"/>
      <c r="K32" s="875"/>
      <c r="L32" s="868"/>
      <c r="M32" s="875"/>
      <c r="N32" s="864"/>
      <c r="O32" s="877">
        <f t="shared" si="1"/>
        <v>0</v>
      </c>
    </row>
    <row r="33" spans="1:16" ht="18" customHeight="1" x14ac:dyDescent="0.2">
      <c r="A33" s="325">
        <v>8</v>
      </c>
      <c r="B33" s="1563" t="s">
        <v>1132</v>
      </c>
      <c r="C33" s="1563"/>
      <c r="D33" s="1563"/>
      <c r="E33" s="874"/>
      <c r="F33" s="876">
        <v>6300</v>
      </c>
      <c r="G33" s="867"/>
      <c r="H33" s="875">
        <f>'SUMMARY FORM'!N49</f>
        <v>0</v>
      </c>
      <c r="I33" s="865"/>
      <c r="J33" s="872"/>
      <c r="K33" s="875"/>
      <c r="L33" s="868"/>
      <c r="M33" s="875"/>
      <c r="N33" s="864"/>
      <c r="O33" s="877">
        <f t="shared" si="1"/>
        <v>0</v>
      </c>
    </row>
    <row r="34" spans="1:16" ht="18" customHeight="1" x14ac:dyDescent="0.2">
      <c r="A34" s="325">
        <v>9</v>
      </c>
      <c r="B34" s="1568" t="s">
        <v>1131</v>
      </c>
      <c r="C34" s="1568"/>
      <c r="D34" s="1568"/>
      <c r="E34" s="874"/>
      <c r="F34" s="878">
        <v>6400</v>
      </c>
      <c r="G34" s="867"/>
      <c r="H34" s="875">
        <f>'SUMMARY FORM'!N51</f>
        <v>0</v>
      </c>
      <c r="I34" s="865"/>
      <c r="J34" s="872"/>
      <c r="K34" s="875"/>
      <c r="L34" s="868"/>
      <c r="M34" s="875"/>
      <c r="N34" s="864"/>
      <c r="O34" s="877">
        <f t="shared" si="1"/>
        <v>0</v>
      </c>
    </row>
    <row r="35" spans="1:16" ht="18" customHeight="1" x14ac:dyDescent="0.2">
      <c r="A35" s="325">
        <v>10</v>
      </c>
      <c r="B35" s="1568" t="s">
        <v>1130</v>
      </c>
      <c r="C35" s="1568"/>
      <c r="D35" s="1568"/>
      <c r="E35" s="874"/>
      <c r="F35" s="878">
        <v>6500</v>
      </c>
      <c r="G35" s="867"/>
      <c r="H35" s="875">
        <f>'SUMMARY FORM'!N53</f>
        <v>0</v>
      </c>
      <c r="I35" s="865"/>
      <c r="J35" s="872"/>
      <c r="K35" s="875"/>
      <c r="L35" s="868"/>
      <c r="M35" s="875"/>
      <c r="N35" s="864"/>
      <c r="O35" s="877">
        <f t="shared" si="1"/>
        <v>0</v>
      </c>
    </row>
    <row r="36" spans="1:16" ht="18" customHeight="1" x14ac:dyDescent="0.2">
      <c r="A36" s="325">
        <v>1</v>
      </c>
      <c r="B36" s="1563" t="s">
        <v>1129</v>
      </c>
      <c r="C36" s="1563"/>
      <c r="D36" s="1563"/>
      <c r="E36" s="874"/>
      <c r="F36" s="876">
        <v>8100</v>
      </c>
      <c r="G36" s="867"/>
      <c r="H36" s="875">
        <f>'SUMMARY FORM'!N55</f>
        <v>0</v>
      </c>
      <c r="I36" s="865"/>
      <c r="J36" s="872"/>
      <c r="K36" s="875"/>
      <c r="L36" s="868"/>
      <c r="M36" s="875"/>
      <c r="N36" s="864"/>
      <c r="O36" s="863">
        <f t="shared" si="1"/>
        <v>0</v>
      </c>
    </row>
    <row r="37" spans="1:16" ht="18" customHeight="1" x14ac:dyDescent="0.2">
      <c r="A37" s="325">
        <v>11</v>
      </c>
      <c r="B37" s="1569" t="s">
        <v>1128</v>
      </c>
      <c r="C37" s="1569"/>
      <c r="D37" s="1569"/>
      <c r="E37" s="874"/>
      <c r="F37" s="873">
        <v>7900</v>
      </c>
      <c r="G37" s="867"/>
      <c r="H37" s="871">
        <f>'SUMMARY FORM'!N59</f>
        <v>0</v>
      </c>
      <c r="I37" s="865"/>
      <c r="J37" s="872"/>
      <c r="K37" s="871"/>
      <c r="L37" s="868"/>
      <c r="M37" s="871"/>
      <c r="N37" s="864"/>
      <c r="O37" s="870">
        <f t="shared" si="1"/>
        <v>0</v>
      </c>
    </row>
    <row r="38" spans="1:16" ht="18" customHeight="1" x14ac:dyDescent="0.2">
      <c r="B38" s="1570" t="s">
        <v>1127</v>
      </c>
      <c r="C38" s="1570"/>
      <c r="D38" s="1570"/>
      <c r="E38" s="1570"/>
      <c r="F38" s="1570"/>
      <c r="G38" s="867"/>
      <c r="H38" s="863">
        <f>SUM(H27:H37)</f>
        <v>0</v>
      </c>
      <c r="I38" s="866"/>
      <c r="J38" s="865"/>
      <c r="K38" s="863">
        <f>SUM(K27:K37)</f>
        <v>0</v>
      </c>
      <c r="L38" s="868"/>
      <c r="M38" s="863">
        <f>SUM(M27:M37)</f>
        <v>0</v>
      </c>
      <c r="N38" s="864"/>
      <c r="O38" s="863">
        <f>SUM(O27:O37)</f>
        <v>0</v>
      </c>
    </row>
    <row r="39" spans="1:16" ht="18" customHeight="1" x14ac:dyDescent="0.2">
      <c r="B39" s="1571"/>
      <c r="C39" s="1571"/>
      <c r="D39" s="1571"/>
      <c r="E39" s="869"/>
      <c r="F39" s="867"/>
      <c r="G39" s="867"/>
      <c r="H39" s="865"/>
      <c r="I39" s="866"/>
      <c r="J39" s="865"/>
      <c r="K39" s="865"/>
      <c r="L39" s="868"/>
      <c r="M39" s="865"/>
      <c r="N39" s="864"/>
      <c r="O39" s="865"/>
    </row>
    <row r="40" spans="1:16" ht="18" customHeight="1" x14ac:dyDescent="0.2">
      <c r="B40" s="1570" t="s">
        <v>1126</v>
      </c>
      <c r="C40" s="1570"/>
      <c r="D40" s="1570"/>
      <c r="E40" s="1570"/>
      <c r="F40" s="1570"/>
      <c r="G40" s="867"/>
      <c r="H40" s="863">
        <f>+H24-H38</f>
        <v>0</v>
      </c>
      <c r="I40" s="866"/>
      <c r="J40" s="865"/>
      <c r="K40" s="863">
        <f>+K24-K38</f>
        <v>0</v>
      </c>
      <c r="L40" s="865"/>
      <c r="M40" s="863">
        <f>+M24-M38</f>
        <v>0</v>
      </c>
      <c r="N40" s="864"/>
      <c r="O40" s="863">
        <f>+O24-O38</f>
        <v>0</v>
      </c>
    </row>
    <row r="41" spans="1:16" ht="22.5" customHeight="1" x14ac:dyDescent="0.2">
      <c r="B41" s="1567" t="s">
        <v>1125</v>
      </c>
      <c r="C41" s="1567"/>
      <c r="D41" s="1567"/>
      <c r="E41" s="1567"/>
      <c r="F41" s="1567"/>
      <c r="G41" s="1567"/>
      <c r="H41" s="1567"/>
      <c r="I41" s="1567"/>
      <c r="J41" s="1567"/>
      <c r="K41" s="1567"/>
      <c r="L41" s="1567"/>
      <c r="M41" s="1567"/>
      <c r="N41" s="1567"/>
      <c r="O41" s="1567"/>
    </row>
    <row r="42" spans="1:16" ht="90" customHeight="1" x14ac:dyDescent="0.2">
      <c r="B42" s="1572"/>
      <c r="C42" s="1573"/>
      <c r="D42" s="1573"/>
      <c r="E42" s="1573"/>
      <c r="F42" s="1573"/>
      <c r="G42" s="1573"/>
      <c r="H42" s="1573"/>
      <c r="I42" s="1573"/>
      <c r="J42" s="1573"/>
      <c r="K42" s="1573"/>
      <c r="L42" s="1573"/>
      <c r="M42" s="1573"/>
      <c r="N42" s="1573"/>
      <c r="O42" s="1574"/>
      <c r="P42" s="862"/>
    </row>
    <row r="43" spans="1:16" ht="8.25" customHeight="1" x14ac:dyDescent="0.2">
      <c r="B43" s="1575"/>
      <c r="C43" s="1575"/>
      <c r="D43" s="1575"/>
      <c r="E43" s="1575"/>
      <c r="F43" s="1575"/>
      <c r="G43" s="1575"/>
      <c r="H43" s="1575"/>
      <c r="I43" s="1575"/>
      <c r="J43" s="1575"/>
      <c r="K43" s="1575"/>
      <c r="L43" s="1575"/>
      <c r="M43" s="1575"/>
      <c r="N43" s="1575"/>
      <c r="O43" s="1575"/>
    </row>
    <row r="44" spans="1:16" x14ac:dyDescent="0.2">
      <c r="B44" s="1576" t="s">
        <v>1124</v>
      </c>
      <c r="C44" s="1576"/>
      <c r="D44" s="1576"/>
      <c r="E44" s="1576"/>
      <c r="F44" s="1576"/>
      <c r="G44" s="1576"/>
      <c r="H44" s="1576"/>
      <c r="I44" s="1576"/>
      <c r="J44" s="1577"/>
      <c r="K44" s="861" t="s">
        <v>916</v>
      </c>
      <c r="L44" s="860"/>
      <c r="M44" s="859"/>
      <c r="N44" s="859"/>
      <c r="O44" s="858"/>
    </row>
    <row r="45" spans="1:16" x14ac:dyDescent="0.2">
      <c r="B45" s="1576"/>
      <c r="C45" s="1576"/>
      <c r="D45" s="1576"/>
      <c r="E45" s="1576"/>
      <c r="F45" s="1576"/>
      <c r="G45" s="1576"/>
      <c r="H45" s="1576"/>
      <c r="I45" s="1576"/>
      <c r="J45" s="1577"/>
      <c r="K45" s="857" t="s">
        <v>1123</v>
      </c>
      <c r="L45" s="856"/>
      <c r="M45" s="855"/>
      <c r="N45" s="855"/>
      <c r="O45" s="854"/>
    </row>
    <row r="46" spans="1:16" ht="12.75" customHeight="1" x14ac:dyDescent="0.2">
      <c r="B46" s="1576"/>
      <c r="C46" s="1576"/>
      <c r="D46" s="1576"/>
      <c r="E46" s="1576"/>
      <c r="F46" s="1576"/>
      <c r="G46" s="1576"/>
      <c r="H46" s="1576"/>
      <c r="I46" s="1576"/>
      <c r="J46" s="1577"/>
      <c r="K46" s="850"/>
      <c r="L46" s="853"/>
      <c r="M46" s="853"/>
      <c r="N46" s="853"/>
      <c r="O46" s="852"/>
    </row>
    <row r="47" spans="1:16" ht="15" customHeight="1" x14ac:dyDescent="0.2">
      <c r="B47" s="1578"/>
      <c r="C47" s="1578"/>
      <c r="D47" s="1578"/>
      <c r="E47" s="1578"/>
      <c r="F47" s="1578"/>
      <c r="G47" s="1578"/>
      <c r="H47" s="1580"/>
      <c r="I47" s="1580"/>
      <c r="J47" s="1577"/>
      <c r="K47" s="848" t="s">
        <v>1117</v>
      </c>
      <c r="L47" s="1582"/>
      <c r="M47" s="1582"/>
      <c r="N47" s="1582"/>
      <c r="O47" s="847"/>
    </row>
    <row r="48" spans="1:16" ht="15" customHeight="1" x14ac:dyDescent="0.2">
      <c r="B48" s="1579"/>
      <c r="C48" s="1579"/>
      <c r="D48" s="1579"/>
      <c r="E48" s="1579"/>
      <c r="F48" s="1579"/>
      <c r="G48" s="1579"/>
      <c r="H48" s="1581"/>
      <c r="I48" s="1581"/>
      <c r="J48" s="1577"/>
      <c r="K48" s="850"/>
      <c r="L48" s="845" t="s">
        <v>1122</v>
      </c>
      <c r="M48" s="851"/>
      <c r="N48" s="851"/>
      <c r="O48" s="843" t="s">
        <v>352</v>
      </c>
    </row>
    <row r="49" spans="2:15" ht="12.75" customHeight="1" x14ac:dyDescent="0.2">
      <c r="B49" s="1583" t="s">
        <v>1121</v>
      </c>
      <c r="C49" s="1583"/>
      <c r="D49" s="1583"/>
      <c r="E49" s="1583"/>
      <c r="F49" s="1583"/>
      <c r="G49" s="1583"/>
      <c r="H49" s="1584" t="s">
        <v>352</v>
      </c>
      <c r="I49" s="1584"/>
      <c r="J49" s="1577"/>
      <c r="K49" s="850"/>
      <c r="L49" s="845"/>
      <c r="M49" s="851"/>
      <c r="N49" s="851"/>
      <c r="O49" s="849"/>
    </row>
    <row r="50" spans="2:15" ht="15" customHeight="1" x14ac:dyDescent="0.2">
      <c r="B50" s="1576" t="s">
        <v>1120</v>
      </c>
      <c r="C50" s="1576"/>
      <c r="D50" s="1576"/>
      <c r="E50" s="1576"/>
      <c r="F50" s="1576"/>
      <c r="G50" s="1576"/>
      <c r="H50" s="1585"/>
      <c r="I50" s="1585"/>
      <c r="J50" s="1577"/>
      <c r="K50" s="848" t="s">
        <v>1119</v>
      </c>
      <c r="L50" s="1582"/>
      <c r="M50" s="1582"/>
      <c r="N50" s="1582"/>
      <c r="O50" s="847"/>
    </row>
    <row r="51" spans="2:15" x14ac:dyDescent="0.2">
      <c r="B51" s="1576"/>
      <c r="C51" s="1576"/>
      <c r="D51" s="1576"/>
      <c r="E51" s="1576"/>
      <c r="F51" s="1576"/>
      <c r="G51" s="1576"/>
      <c r="H51" s="1585"/>
      <c r="I51" s="1585"/>
      <c r="J51" s="1577"/>
      <c r="K51" s="850"/>
      <c r="L51" s="845" t="s">
        <v>1118</v>
      </c>
      <c r="M51" s="844"/>
      <c r="N51" s="844"/>
      <c r="O51" s="843" t="s">
        <v>352</v>
      </c>
    </row>
    <row r="52" spans="2:15" ht="12.75" customHeight="1" x14ac:dyDescent="0.2">
      <c r="B52" s="1578"/>
      <c r="C52" s="1578"/>
      <c r="D52" s="1578"/>
      <c r="E52" s="1578"/>
      <c r="F52" s="1578"/>
      <c r="G52" s="1578"/>
      <c r="H52" s="1580"/>
      <c r="I52" s="1580"/>
      <c r="J52" s="1577"/>
      <c r="K52" s="850"/>
      <c r="L52" s="845"/>
      <c r="M52" s="844"/>
      <c r="N52" s="844"/>
      <c r="O52" s="849"/>
    </row>
    <row r="53" spans="2:15" ht="15" customHeight="1" x14ac:dyDescent="0.2">
      <c r="B53" s="1579"/>
      <c r="C53" s="1579"/>
      <c r="D53" s="1579"/>
      <c r="E53" s="1579"/>
      <c r="F53" s="1579"/>
      <c r="G53" s="1579"/>
      <c r="H53" s="1581"/>
      <c r="I53" s="1581"/>
      <c r="J53" s="1577"/>
      <c r="K53" s="848" t="s">
        <v>1117</v>
      </c>
      <c r="L53" s="1582"/>
      <c r="M53" s="1582"/>
      <c r="N53" s="1582"/>
      <c r="O53" s="847"/>
    </row>
    <row r="54" spans="2:15" ht="11.25" customHeight="1" x14ac:dyDescent="0.2">
      <c r="B54" s="1583" t="s">
        <v>1116</v>
      </c>
      <c r="C54" s="1583"/>
      <c r="D54" s="1583"/>
      <c r="E54" s="1583"/>
      <c r="F54" s="1583"/>
      <c r="G54" s="1583"/>
      <c r="H54" s="1587" t="s">
        <v>352</v>
      </c>
      <c r="I54" s="1587"/>
      <c r="J54" s="1577"/>
      <c r="K54" s="846"/>
      <c r="L54" s="845" t="s">
        <v>1115</v>
      </c>
      <c r="M54" s="844"/>
      <c r="N54" s="844"/>
      <c r="O54" s="843" t="s">
        <v>352</v>
      </c>
    </row>
    <row r="55" spans="2:15" ht="5.25" customHeight="1" x14ac:dyDescent="0.2">
      <c r="B55" s="1586"/>
      <c r="C55" s="1586"/>
      <c r="D55" s="1586"/>
      <c r="E55" s="1586"/>
      <c r="F55" s="1586"/>
      <c r="G55" s="1586"/>
      <c r="H55" s="1588"/>
      <c r="I55" s="1588"/>
      <c r="J55" s="1577"/>
      <c r="K55" s="842"/>
      <c r="L55" s="841"/>
      <c r="M55" s="841"/>
      <c r="N55" s="841"/>
      <c r="O55" s="840"/>
    </row>
    <row r="56" spans="2:15" x14ac:dyDescent="0.2">
      <c r="B56" s="1555"/>
      <c r="C56" s="1555"/>
      <c r="D56" s="1555"/>
      <c r="E56" s="1555"/>
      <c r="F56" s="1555"/>
      <c r="G56" s="1555"/>
      <c r="H56" s="1555"/>
      <c r="I56" s="1555"/>
      <c r="J56" s="1555"/>
      <c r="K56" s="1555"/>
      <c r="L56" s="1555"/>
      <c r="M56" s="1555"/>
      <c r="N56" s="1555"/>
      <c r="O56" s="1555"/>
    </row>
    <row r="57" spans="2:15" x14ac:dyDescent="0.2">
      <c r="B57" s="1555"/>
      <c r="C57" s="1555"/>
      <c r="D57" s="1555"/>
      <c r="E57" s="1555"/>
      <c r="F57" s="1555"/>
      <c r="G57" s="1555"/>
      <c r="H57" s="1555"/>
      <c r="I57" s="1555"/>
      <c r="J57" s="1555"/>
      <c r="K57" s="1555"/>
      <c r="L57" s="1555"/>
      <c r="M57" s="1555"/>
      <c r="N57" s="1555"/>
      <c r="O57" s="1555"/>
    </row>
  </sheetData>
  <sheetProtection algorithmName="SHA-512" hashValue="Fjt2pSw1RVc9r16vAcD2OMsOq7ROTFkckj+TZ8arZrEt2I+UpZu++ysQyL4Xg1GCWk0/Wj8rltK3e61NFiepQA==" saltValue="8YoGBeRxJ1YZJ5ymB5z/Nw==" spinCount="100000" sheet="1" objects="1" scenarios="1"/>
  <protectedRanges>
    <protectedRange sqref="M8:O8 K8 N12 B8:D8 N14:N40" name="Data"/>
  </protectedRanges>
  <mergeCells count="61">
    <mergeCell ref="B56:O57"/>
    <mergeCell ref="H50:I51"/>
    <mergeCell ref="L50:N50"/>
    <mergeCell ref="B52:G53"/>
    <mergeCell ref="H52:I53"/>
    <mergeCell ref="L53:N53"/>
    <mergeCell ref="B54:G55"/>
    <mergeCell ref="H54:I55"/>
    <mergeCell ref="B42:O42"/>
    <mergeCell ref="B43:O43"/>
    <mergeCell ref="B44:I46"/>
    <mergeCell ref="J44:J55"/>
    <mergeCell ref="B47:G48"/>
    <mergeCell ref="H47:I48"/>
    <mergeCell ref="L47:N47"/>
    <mergeCell ref="B49:G49"/>
    <mergeCell ref="H49:I49"/>
    <mergeCell ref="B50:G51"/>
    <mergeCell ref="B41:O41"/>
    <mergeCell ref="B29:D29"/>
    <mergeCell ref="B30:D30"/>
    <mergeCell ref="B31:D31"/>
    <mergeCell ref="B32:D32"/>
    <mergeCell ref="B33:D33"/>
    <mergeCell ref="B34:D34"/>
    <mergeCell ref="B35:D35"/>
    <mergeCell ref="B37:D37"/>
    <mergeCell ref="B38:F38"/>
    <mergeCell ref="B39:D39"/>
    <mergeCell ref="B40:F40"/>
    <mergeCell ref="B36:D36"/>
    <mergeCell ref="B14:F14"/>
    <mergeCell ref="B15:F15"/>
    <mergeCell ref="B16:D16"/>
    <mergeCell ref="B28:D28"/>
    <mergeCell ref="B18:D18"/>
    <mergeCell ref="B19:D19"/>
    <mergeCell ref="B20:D20"/>
    <mergeCell ref="B27:D27"/>
    <mergeCell ref="B17:D17"/>
    <mergeCell ref="B21:D21"/>
    <mergeCell ref="B22:D22"/>
    <mergeCell ref="B23:D23"/>
    <mergeCell ref="B24:F24"/>
    <mergeCell ref="B25:F25"/>
    <mergeCell ref="B26:D26"/>
    <mergeCell ref="B13:H13"/>
    <mergeCell ref="M12:O12"/>
    <mergeCell ref="B1:O1"/>
    <mergeCell ref="B2:J5"/>
    <mergeCell ref="K2:O3"/>
    <mergeCell ref="K5:O5"/>
    <mergeCell ref="B6:H6"/>
    <mergeCell ref="B9:H9"/>
    <mergeCell ref="K13:O13"/>
    <mergeCell ref="K9:O9"/>
    <mergeCell ref="B10:C10"/>
    <mergeCell ref="D10:H10"/>
    <mergeCell ref="B11:H11"/>
    <mergeCell ref="B12:C12"/>
    <mergeCell ref="D12:H12"/>
  </mergeCells>
  <printOptions horizontalCentered="1"/>
  <pageMargins left="0.25" right="0.25" top="0.5" bottom="0.5" header="0.5" footer="0.5"/>
  <pageSetup scale="78" orientation="portrait" r:id="rId1"/>
  <headerFooter alignWithMargins="0">
    <oddFooter>&amp;RLast Edited: 08.15.18</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A1:L49"/>
  <sheetViews>
    <sheetView zoomScale="102" zoomScaleNormal="102" workbookViewId="0">
      <pane ySplit="9" topLeftCell="A10" activePane="bottomLeft" state="frozen"/>
      <selection activeCell="N6" sqref="N6"/>
      <selection pane="bottomLeft" activeCell="A10" sqref="A10"/>
    </sheetView>
  </sheetViews>
  <sheetFormatPr defaultColWidth="9.140625" defaultRowHeight="12" x14ac:dyDescent="0.2"/>
  <cols>
    <col min="1" max="1" width="8" style="213" customWidth="1"/>
    <col min="2" max="2" width="24.85546875" style="213" customWidth="1"/>
    <col min="3" max="3" width="22.85546875" style="213" customWidth="1"/>
    <col min="4" max="7" width="16.42578125" style="213" customWidth="1"/>
    <col min="8" max="8" width="1.7109375" style="1158" customWidth="1"/>
    <col min="9" max="9" width="11.5703125" style="213" hidden="1" customWidth="1"/>
    <col min="10" max="16384" width="9.140625" style="213"/>
  </cols>
  <sheetData>
    <row r="1" spans="1:12" ht="15.75" thickBot="1" x14ac:dyDescent="0.4">
      <c r="A1" s="229" t="str">
        <f>'SUMMARY FORM'!A2</f>
        <v>FY21 SELF-SUPPORTING BUDGET REQUEST</v>
      </c>
      <c r="B1" s="230"/>
      <c r="C1" s="230"/>
      <c r="D1" s="230"/>
      <c r="E1" s="230"/>
      <c r="F1" s="230"/>
      <c r="G1" s="231" t="s">
        <v>671</v>
      </c>
      <c r="H1" s="1157"/>
      <c r="I1" s="212"/>
      <c r="J1" s="212"/>
      <c r="L1" s="212"/>
    </row>
    <row r="2" spans="1:12" ht="15" thickTop="1" x14ac:dyDescent="0.35">
      <c r="A2" s="214"/>
      <c r="B2" s="215"/>
      <c r="C2" s="215"/>
      <c r="D2" s="215"/>
      <c r="E2" s="215"/>
      <c r="F2" s="215"/>
      <c r="G2" s="322" t="s">
        <v>611</v>
      </c>
      <c r="H2" s="1157"/>
      <c r="I2" s="212"/>
      <c r="J2" s="212"/>
      <c r="K2" s="216"/>
      <c r="L2" s="212"/>
    </row>
    <row r="3" spans="1:12" ht="12.75" customHeight="1" x14ac:dyDescent="0.2">
      <c r="F3" s="1284" t="str">
        <f>'SUMMARY FORM'!AF2</f>
        <v>0  0  0  NEW</v>
      </c>
      <c r="G3" s="1285"/>
      <c r="H3" s="1157"/>
      <c r="I3" s="212"/>
      <c r="J3" s="212"/>
    </row>
    <row r="4" spans="1:12" x14ac:dyDescent="0.2">
      <c r="B4" s="1290" t="s">
        <v>672</v>
      </c>
      <c r="C4" s="1290"/>
      <c r="D4" s="1291"/>
      <c r="E4" s="1291"/>
      <c r="F4" s="1291"/>
      <c r="G4" s="1291"/>
    </row>
    <row r="5" spans="1:12" ht="18.75" customHeight="1" x14ac:dyDescent="0.2">
      <c r="B5" s="276"/>
      <c r="C5" s="583" t="s">
        <v>697</v>
      </c>
      <c r="D5" s="1294">
        <f>'SUMMARY FORM'!J10</f>
        <v>0</v>
      </c>
      <c r="E5" s="1295"/>
      <c r="F5" s="1295"/>
      <c r="G5" s="1296"/>
    </row>
    <row r="6" spans="1:12" x14ac:dyDescent="0.2">
      <c r="A6" s="217"/>
      <c r="B6" s="217"/>
      <c r="C6" s="217"/>
      <c r="D6" s="302" t="str">
        <f>'SUMMARY FORM'!J15</f>
        <v>FY20</v>
      </c>
      <c r="E6" s="549" t="str">
        <f>'SUMMARY FORM'!J15</f>
        <v>FY20</v>
      </c>
      <c r="F6" s="302" t="str">
        <f>'SUMMARY FORM'!J15</f>
        <v>FY20</v>
      </c>
      <c r="G6" s="302" t="str">
        <f>'SUMMARY FORM'!N15</f>
        <v>FY21</v>
      </c>
    </row>
    <row r="7" spans="1:12" x14ac:dyDescent="0.2">
      <c r="D7" s="271" t="s">
        <v>540</v>
      </c>
      <c r="E7" s="272" t="s">
        <v>552</v>
      </c>
      <c r="F7" s="272" t="s">
        <v>541</v>
      </c>
      <c r="G7" s="271" t="s">
        <v>355</v>
      </c>
      <c r="I7" s="213" t="s">
        <v>543</v>
      </c>
    </row>
    <row r="8" spans="1:12" ht="16.5" customHeight="1" x14ac:dyDescent="0.2">
      <c r="A8" s="218"/>
      <c r="B8" s="219"/>
      <c r="C8" s="219"/>
      <c r="D8" s="271" t="s">
        <v>242</v>
      </c>
      <c r="E8" s="271" t="s">
        <v>242</v>
      </c>
      <c r="F8" s="271" t="s">
        <v>242</v>
      </c>
      <c r="G8" s="271" t="s">
        <v>242</v>
      </c>
    </row>
    <row r="9" spans="1:12" ht="17.25" customHeight="1" x14ac:dyDescent="0.2">
      <c r="A9" s="218"/>
      <c r="C9" s="755" t="s">
        <v>1218</v>
      </c>
      <c r="D9" s="413"/>
    </row>
    <row r="10" spans="1:12" ht="18" customHeight="1" x14ac:dyDescent="0.2">
      <c r="A10" s="734" t="s">
        <v>1017</v>
      </c>
      <c r="B10" s="262" t="s">
        <v>544</v>
      </c>
      <c r="C10" s="262"/>
    </row>
    <row r="11" spans="1:12" ht="18" customHeight="1" x14ac:dyDescent="0.2">
      <c r="A11" s="732">
        <v>4000</v>
      </c>
      <c r="B11" s="722" t="s">
        <v>921</v>
      </c>
      <c r="C11" s="721"/>
      <c r="D11" s="414"/>
      <c r="E11" s="414"/>
      <c r="F11" s="223">
        <f t="shared" ref="F11:F17" si="0">SUM(D11:E11)</f>
        <v>0</v>
      </c>
      <c r="G11" s="414"/>
      <c r="I11" s="222" t="e">
        <f t="shared" ref="I11:I23" si="1">(+G11-F11)/F11</f>
        <v>#DIV/0!</v>
      </c>
      <c r="J11" s="441"/>
      <c r="K11" s="441"/>
      <c r="L11" s="441"/>
    </row>
    <row r="12" spans="1:12" ht="18" customHeight="1" x14ac:dyDescent="0.2">
      <c r="A12" s="732">
        <v>4300</v>
      </c>
      <c r="B12" s="722" t="s">
        <v>922</v>
      </c>
      <c r="C12" s="721"/>
      <c r="D12" s="414"/>
      <c r="E12" s="414"/>
      <c r="F12" s="225">
        <f t="shared" si="0"/>
        <v>0</v>
      </c>
      <c r="G12" s="414"/>
      <c r="I12" s="222" t="e">
        <f>(+G12-F12)/F12</f>
        <v>#DIV/0!</v>
      </c>
      <c r="J12" s="441"/>
      <c r="K12" s="441"/>
      <c r="L12" s="441"/>
    </row>
    <row r="13" spans="1:12" ht="18" customHeight="1" x14ac:dyDescent="0.2">
      <c r="A13" s="732">
        <v>4400</v>
      </c>
      <c r="B13" s="722" t="s">
        <v>923</v>
      </c>
      <c r="C13" s="721"/>
      <c r="D13" s="414"/>
      <c r="E13" s="414"/>
      <c r="F13" s="225">
        <f t="shared" si="0"/>
        <v>0</v>
      </c>
      <c r="G13" s="414"/>
      <c r="I13" s="222" t="e">
        <f t="shared" si="1"/>
        <v>#DIV/0!</v>
      </c>
      <c r="J13" s="441"/>
      <c r="K13" s="441"/>
      <c r="L13" s="441"/>
    </row>
    <row r="14" spans="1:12" ht="18" customHeight="1" x14ac:dyDescent="0.2">
      <c r="A14" s="732">
        <v>4500</v>
      </c>
      <c r="B14" s="722" t="s">
        <v>924</v>
      </c>
      <c r="C14" s="721"/>
      <c r="D14" s="414"/>
      <c r="E14" s="414"/>
      <c r="F14" s="225">
        <f t="shared" si="0"/>
        <v>0</v>
      </c>
      <c r="G14" s="414"/>
      <c r="I14" s="222" t="e">
        <f t="shared" si="1"/>
        <v>#DIV/0!</v>
      </c>
      <c r="J14" s="441"/>
      <c r="K14" s="441"/>
      <c r="L14" s="441"/>
    </row>
    <row r="15" spans="1:12" ht="18" customHeight="1" x14ac:dyDescent="0.2">
      <c r="A15" s="732">
        <v>4708</v>
      </c>
      <c r="B15" s="722" t="s">
        <v>925</v>
      </c>
      <c r="C15" s="721"/>
      <c r="D15" s="414"/>
      <c r="E15" s="414"/>
      <c r="F15" s="225">
        <f t="shared" si="0"/>
        <v>0</v>
      </c>
      <c r="G15" s="414"/>
      <c r="I15" s="222" t="e">
        <f t="shared" si="1"/>
        <v>#DIV/0!</v>
      </c>
      <c r="J15" s="441"/>
      <c r="K15" s="441"/>
      <c r="L15" s="441"/>
    </row>
    <row r="16" spans="1:12" ht="18" customHeight="1" x14ac:dyDescent="0.2">
      <c r="A16" s="732">
        <v>4800</v>
      </c>
      <c r="B16" s="722" t="s">
        <v>926</v>
      </c>
      <c r="C16" s="721"/>
      <c r="D16" s="414"/>
      <c r="E16" s="414"/>
      <c r="F16" s="225">
        <f t="shared" si="0"/>
        <v>0</v>
      </c>
      <c r="G16" s="414"/>
      <c r="I16" s="222" t="e">
        <f t="shared" si="1"/>
        <v>#DIV/0!</v>
      </c>
      <c r="J16" s="441"/>
      <c r="K16" s="441"/>
      <c r="L16" s="441"/>
    </row>
    <row r="17" spans="1:12" ht="18" customHeight="1" x14ac:dyDescent="0.2">
      <c r="A17" s="732">
        <v>4600</v>
      </c>
      <c r="B17" s="1297" t="s">
        <v>1083</v>
      </c>
      <c r="C17" s="1298"/>
      <c r="D17" s="414"/>
      <c r="E17" s="414"/>
      <c r="F17" s="492">
        <f t="shared" si="0"/>
        <v>0</v>
      </c>
      <c r="G17" s="414"/>
      <c r="H17" s="1159"/>
      <c r="I17" s="222" t="e">
        <f>(+G17-F17)/F17</f>
        <v>#DIV/0!</v>
      </c>
      <c r="J17" s="441"/>
      <c r="K17" s="441"/>
      <c r="L17" s="441"/>
    </row>
    <row r="18" spans="1:12" ht="18" customHeight="1" x14ac:dyDescent="0.2">
      <c r="A18" s="732"/>
      <c r="B18" s="723" t="s">
        <v>776</v>
      </c>
      <c r="C18" s="794" t="s">
        <v>775</v>
      </c>
      <c r="D18" s="221"/>
      <c r="E18" s="221"/>
      <c r="F18" s="221"/>
      <c r="G18" s="221"/>
      <c r="I18" s="221"/>
      <c r="J18" s="441"/>
      <c r="K18" s="441"/>
      <c r="L18" s="441"/>
    </row>
    <row r="19" spans="1:12" ht="18" customHeight="1" x14ac:dyDescent="0.2">
      <c r="A19" s="733"/>
      <c r="B19" s="1094"/>
      <c r="C19" s="1095"/>
      <c r="D19" s="221"/>
      <c r="E19" s="221"/>
      <c r="F19" s="221"/>
      <c r="G19" s="221"/>
      <c r="H19" s="1159"/>
      <c r="I19" s="523"/>
      <c r="J19" s="441"/>
      <c r="K19" s="441"/>
      <c r="L19" s="441"/>
    </row>
    <row r="20" spans="1:12" ht="18" customHeight="1" x14ac:dyDescent="0.2">
      <c r="A20" s="733"/>
      <c r="B20" s="1094"/>
      <c r="C20" s="1095"/>
      <c r="D20" s="221"/>
      <c r="E20" s="221"/>
      <c r="F20" s="221"/>
      <c r="G20" s="221"/>
      <c r="H20" s="1159"/>
      <c r="I20" s="523"/>
      <c r="J20" s="441"/>
      <c r="K20" s="441"/>
      <c r="L20" s="441"/>
    </row>
    <row r="21" spans="1:12" ht="18" customHeight="1" x14ac:dyDescent="0.2">
      <c r="A21" s="733"/>
      <c r="B21" s="1094"/>
      <c r="C21" s="1095"/>
      <c r="D21" s="221"/>
      <c r="E21" s="221"/>
      <c r="F21" s="221"/>
      <c r="G21" s="221"/>
      <c r="H21" s="1159"/>
      <c r="I21" s="523"/>
      <c r="J21" s="441"/>
      <c r="K21" s="441"/>
      <c r="L21" s="441"/>
    </row>
    <row r="22" spans="1:12" ht="18" customHeight="1" x14ac:dyDescent="0.2">
      <c r="A22" s="733"/>
      <c r="B22" s="1094"/>
      <c r="C22" s="1095"/>
      <c r="D22" s="221"/>
      <c r="E22" s="221"/>
      <c r="F22" s="221"/>
      <c r="G22" s="221"/>
      <c r="H22" s="1159"/>
      <c r="I22" s="523"/>
      <c r="J22" s="441"/>
      <c r="K22" s="441"/>
      <c r="L22" s="441"/>
    </row>
    <row r="23" spans="1:12" ht="17.25" customHeight="1" x14ac:dyDescent="0.2">
      <c r="A23" s="733"/>
      <c r="B23" s="1068" t="s">
        <v>1236</v>
      </c>
      <c r="C23" s="1068"/>
      <c r="D23" s="223">
        <f>SUM(D11:D17)</f>
        <v>0</v>
      </c>
      <c r="E23" s="223">
        <f>SUM(E11:E17)</f>
        <v>0</v>
      </c>
      <c r="F23" s="223">
        <f>SUM(F11:F17)</f>
        <v>0</v>
      </c>
      <c r="G23" s="223">
        <f>SUM(G11:G17)</f>
        <v>0</v>
      </c>
      <c r="I23" s="222" t="e">
        <f t="shared" si="1"/>
        <v>#DIV/0!</v>
      </c>
      <c r="J23" s="441"/>
      <c r="K23" s="441"/>
      <c r="L23" s="441"/>
    </row>
    <row r="24" spans="1:12" ht="17.25" customHeight="1" x14ac:dyDescent="0.2">
      <c r="A24" s="733"/>
      <c r="B24" s="219"/>
      <c r="C24" s="219"/>
      <c r="J24" s="441"/>
      <c r="K24" s="441"/>
      <c r="L24" s="441"/>
    </row>
    <row r="25" spans="1:12" ht="17.25" customHeight="1" x14ac:dyDescent="0.2">
      <c r="A25" s="733">
        <v>6400</v>
      </c>
      <c r="B25" s="261" t="s">
        <v>927</v>
      </c>
      <c r="C25" s="261"/>
      <c r="D25" s="414"/>
      <c r="E25" s="414"/>
      <c r="F25" s="223">
        <f>SUM(D25:E25)</f>
        <v>0</v>
      </c>
      <c r="G25" s="414"/>
      <c r="J25" s="441"/>
      <c r="K25" s="441"/>
      <c r="L25" s="441"/>
    </row>
    <row r="26" spans="1:12" ht="17.25" customHeight="1" x14ac:dyDescent="0.2">
      <c r="A26" s="733"/>
      <c r="B26" s="1068" t="s">
        <v>1238</v>
      </c>
      <c r="C26" s="1068"/>
      <c r="D26" s="220"/>
      <c r="E26" s="220"/>
      <c r="F26" s="220"/>
      <c r="G26" s="220"/>
      <c r="H26" s="1160"/>
      <c r="J26" s="441"/>
      <c r="K26" s="441"/>
      <c r="L26" s="441"/>
    </row>
    <row r="27" spans="1:12" ht="17.25" customHeight="1" x14ac:dyDescent="0.2">
      <c r="B27" s="224"/>
      <c r="C27" s="224"/>
      <c r="J27" s="441"/>
      <c r="K27" s="441"/>
      <c r="L27" s="441"/>
    </row>
    <row r="28" spans="1:12" x14ac:dyDescent="0.2">
      <c r="A28" s="263"/>
      <c r="B28" s="262" t="s">
        <v>929</v>
      </c>
      <c r="C28" s="262"/>
      <c r="J28" s="441"/>
      <c r="K28" s="441"/>
      <c r="L28" s="441"/>
    </row>
    <row r="29" spans="1:12" ht="17.25" customHeight="1" x14ac:dyDescent="0.2">
      <c r="B29" s="1292" t="s">
        <v>1296</v>
      </c>
      <c r="C29" s="1293"/>
      <c r="D29" s="414"/>
      <c r="J29" s="441"/>
      <c r="K29" s="441"/>
      <c r="L29" s="441"/>
    </row>
    <row r="30" spans="1:12" ht="17.25" customHeight="1" x14ac:dyDescent="0.2">
      <c r="B30" s="1292" t="s">
        <v>1297</v>
      </c>
      <c r="C30" s="1293"/>
      <c r="D30" s="414"/>
      <c r="J30" s="441"/>
      <c r="K30" s="441"/>
      <c r="L30" s="441"/>
    </row>
    <row r="31" spans="1:12" ht="17.25" customHeight="1" x14ac:dyDescent="0.2">
      <c r="B31" s="1288" t="s">
        <v>1204</v>
      </c>
      <c r="C31" s="1289"/>
      <c r="E31" s="550" t="str">
        <f>E6&amp;" "&amp;E7</f>
        <v>FY20 PROJECTED</v>
      </c>
      <c r="G31" s="1072" t="str">
        <f>G6&amp;" "&amp;G7</f>
        <v>FY21 BUDGET</v>
      </c>
      <c r="J31" s="441"/>
      <c r="K31" s="441"/>
      <c r="L31" s="441"/>
    </row>
    <row r="32" spans="1:12" ht="17.25" customHeight="1" x14ac:dyDescent="0.2">
      <c r="A32" s="213">
        <v>1</v>
      </c>
      <c r="B32" s="1286"/>
      <c r="C32" s="1287"/>
      <c r="E32" s="414"/>
      <c r="G32" s="414"/>
      <c r="H32" s="1159"/>
      <c r="J32" s="441"/>
      <c r="K32" s="441"/>
      <c r="L32" s="441"/>
    </row>
    <row r="33" spans="1:12" ht="17.25" customHeight="1" x14ac:dyDescent="0.2">
      <c r="A33" s="213">
        <v>2</v>
      </c>
      <c r="B33" s="1286"/>
      <c r="C33" s="1287"/>
      <c r="E33" s="414"/>
      <c r="G33" s="414"/>
      <c r="H33" s="1159"/>
      <c r="J33" s="441"/>
      <c r="K33" s="441"/>
      <c r="L33" s="441"/>
    </row>
    <row r="34" spans="1:12" ht="17.25" customHeight="1" x14ac:dyDescent="0.2">
      <c r="A34" s="213">
        <v>3</v>
      </c>
      <c r="B34" s="1286"/>
      <c r="C34" s="1287"/>
      <c r="E34" s="414"/>
      <c r="G34" s="414"/>
      <c r="H34" s="1159"/>
      <c r="J34" s="441"/>
      <c r="K34" s="441"/>
      <c r="L34" s="441"/>
    </row>
    <row r="35" spans="1:12" ht="17.25" customHeight="1" x14ac:dyDescent="0.2">
      <c r="A35" s="213">
        <v>4</v>
      </c>
      <c r="B35" s="1286"/>
      <c r="C35" s="1287"/>
      <c r="E35" s="414"/>
      <c r="G35" s="414"/>
      <c r="H35" s="1159"/>
      <c r="J35" s="441"/>
      <c r="K35" s="441"/>
      <c r="L35" s="441"/>
    </row>
    <row r="36" spans="1:12" ht="17.25" customHeight="1" x14ac:dyDescent="0.2">
      <c r="A36" s="213">
        <v>5</v>
      </c>
      <c r="B36" s="1286"/>
      <c r="C36" s="1287"/>
      <c r="E36" s="414"/>
      <c r="G36" s="414"/>
      <c r="H36" s="1159"/>
      <c r="J36" s="441"/>
      <c r="K36" s="441"/>
      <c r="L36" s="441"/>
    </row>
    <row r="37" spans="1:12" ht="17.25" customHeight="1" x14ac:dyDescent="0.2">
      <c r="A37" s="733">
        <v>8000</v>
      </c>
      <c r="B37" s="1068" t="s">
        <v>1237</v>
      </c>
      <c r="C37" s="1068"/>
      <c r="D37" s="223">
        <f>SUM(D29:D36)</f>
        <v>0</v>
      </c>
      <c r="E37" s="223">
        <f>SUM(E29:E36)</f>
        <v>0</v>
      </c>
      <c r="F37" s="223">
        <f>SUM(D37:E37)</f>
        <v>0</v>
      </c>
      <c r="G37" s="223">
        <f>SUM(G29:G36)</f>
        <v>0</v>
      </c>
      <c r="I37" s="222" t="e">
        <f>(+G37-F37)/F37</f>
        <v>#DIV/0!</v>
      </c>
      <c r="J37" s="441"/>
      <c r="K37" s="441"/>
      <c r="L37" s="441"/>
    </row>
    <row r="38" spans="1:12" ht="7.5" customHeight="1" x14ac:dyDescent="0.2">
      <c r="A38" s="263"/>
    </row>
    <row r="40" spans="1:12" x14ac:dyDescent="0.2">
      <c r="B40" s="221"/>
      <c r="C40" s="221"/>
      <c r="D40" s="221"/>
      <c r="E40" s="221"/>
      <c r="F40" s="221"/>
      <c r="G40" s="221"/>
    </row>
    <row r="41" spans="1:12" x14ac:dyDescent="0.2">
      <c r="B41" s="221"/>
      <c r="C41" s="221"/>
      <c r="D41" s="221"/>
      <c r="E41" s="221"/>
      <c r="F41" s="221"/>
      <c r="G41" s="221"/>
    </row>
    <row r="42" spans="1:12" x14ac:dyDescent="0.2">
      <c r="B42" s="221"/>
      <c r="C42" s="221"/>
      <c r="D42" s="221"/>
      <c r="E42" s="221"/>
      <c r="F42" s="221"/>
      <c r="G42" s="221"/>
    </row>
    <row r="43" spans="1:12" x14ac:dyDescent="0.2">
      <c r="B43" s="221"/>
      <c r="C43" s="221"/>
      <c r="D43" s="221"/>
      <c r="E43" s="221"/>
      <c r="F43" s="221"/>
      <c r="G43" s="221"/>
    </row>
    <row r="44" spans="1:12" x14ac:dyDescent="0.2">
      <c r="B44" s="221"/>
      <c r="C44" s="221"/>
      <c r="D44" s="221"/>
      <c r="E44" s="221"/>
      <c r="F44" s="221"/>
      <c r="G44" s="221"/>
    </row>
    <row r="45" spans="1:12" x14ac:dyDescent="0.2">
      <c r="B45" s="221"/>
      <c r="C45" s="221"/>
      <c r="D45" s="221"/>
      <c r="E45" s="221"/>
      <c r="F45" s="221"/>
      <c r="G45" s="221"/>
    </row>
    <row r="46" spans="1:12" x14ac:dyDescent="0.2">
      <c r="B46" s="221"/>
      <c r="C46" s="221"/>
      <c r="D46" s="221"/>
      <c r="E46" s="221"/>
      <c r="F46" s="221"/>
      <c r="G46" s="221"/>
    </row>
    <row r="47" spans="1:12" x14ac:dyDescent="0.2">
      <c r="B47" s="221"/>
      <c r="C47" s="221"/>
      <c r="D47" s="221"/>
      <c r="E47" s="221"/>
      <c r="F47" s="221"/>
      <c r="G47" s="221"/>
    </row>
    <row r="48" spans="1:12" x14ac:dyDescent="0.2">
      <c r="B48" s="221"/>
      <c r="C48" s="221"/>
      <c r="D48" s="221"/>
      <c r="E48" s="221"/>
      <c r="F48" s="221"/>
      <c r="G48" s="221"/>
    </row>
    <row r="49" spans="2:7" x14ac:dyDescent="0.2">
      <c r="B49" s="221"/>
      <c r="C49" s="221"/>
      <c r="D49" s="221"/>
      <c r="E49" s="221"/>
      <c r="F49" s="221"/>
      <c r="G49" s="221"/>
    </row>
  </sheetData>
  <sheetProtection algorithmName="SHA-512" hashValue="uqrRYBMgSsiPTXT2t/qfJEofaBzjEGe+JwCbCul1kt+Z8HGnU+/VfJ6eRdSMK//vJf3R7dllfSenHAm4r/9HAg==" saltValue="4yF1dS/kKRs5hvqoMW5Now==" spinCount="100000" sheet="1" objects="1" scenarios="1"/>
  <mergeCells count="12">
    <mergeCell ref="F3:G3"/>
    <mergeCell ref="B36:C36"/>
    <mergeCell ref="B32:C32"/>
    <mergeCell ref="B33:C33"/>
    <mergeCell ref="B31:C31"/>
    <mergeCell ref="B34:C34"/>
    <mergeCell ref="B35:C35"/>
    <mergeCell ref="B4:G4"/>
    <mergeCell ref="B30:C30"/>
    <mergeCell ref="D5:G5"/>
    <mergeCell ref="B17:C17"/>
    <mergeCell ref="B29:C29"/>
  </mergeCells>
  <phoneticPr fontId="7" type="noConversion"/>
  <dataValidations count="3">
    <dataValidation allowBlank="1" showInputMessage="1" showErrorMessage="1" prompt="Protected cells will not accept data entry.  Using the &quot;tab&quot; key will move you to a cell that accepts data entry.  _x000a__x000a_When completed, the two green fields to the right must equal 0.  The two blue fields must be a positive figure." sqref="A2"/>
    <dataValidation allowBlank="1" showInputMessage="1" showErrorMessage="1" prompt="Protected cells will not accept data entry.  Using the &quot;tab&quot; key will move you to a cell that accepts data entry (color coded in gray).  _x000a__x000a_" sqref="A1"/>
    <dataValidation type="whole" errorStyle="information" allowBlank="1" showInputMessage="1" showErrorMessage="1" errorTitle="Recharge Account" error="Recharge Accounts are credits and should be negative." sqref="D25:G25">
      <formula1>-999999999999999</formula1>
      <formula2>0</formula2>
    </dataValidation>
  </dataValidations>
  <printOptions horizontalCentered="1"/>
  <pageMargins left="0.5" right="0.25" top="0.25" bottom="0.75" header="0.5" footer="0.5"/>
  <pageSetup scale="81" orientation="portrait" r:id="rId1"/>
  <headerFooter alignWithMargins="0"/>
  <extLst>
    <ext xmlns:x14="http://schemas.microsoft.com/office/spreadsheetml/2009/9/main" uri="{CCE6A557-97BC-4b89-ADB6-D9C93CAAB3DF}">
      <x14:dataValidations xmlns:xm="http://schemas.microsoft.com/office/excel/2006/main" count="1">
        <x14:dataValidation type="list" errorStyle="warning" allowBlank="1" showInputMessage="1" showErrorMessage="1" errorTitle="Month End Date" error="Enter Period from Report Used:_x000a__x000a_FY 2019 - 07 January_x000a_FY 2019 - 08 February_x000a_FY 2019 - 09 March_x000a_FY 2019 - 10 April_x000a_FY 2019 - 11 May" promptTitle="Month End Report Period" prompt="Use the last CLOSED PERIOD in the Workday Manager Balance report for the Year-To-Date amounts. ">
          <x14:formula1>
            <xm:f>'SUMMARY FORM'!$AA$4:$AA$8</xm:f>
          </x14:formula1>
          <xm:sqref>D9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pageSetUpPr fitToPage="1"/>
  </sheetPr>
  <dimension ref="A1:R312"/>
  <sheetViews>
    <sheetView zoomScale="95" zoomScaleNormal="95" workbookViewId="0">
      <pane ySplit="3" topLeftCell="A4" activePane="bottomLeft" state="frozen"/>
      <selection activeCell="N6" sqref="N6"/>
      <selection pane="bottomLeft"/>
    </sheetView>
  </sheetViews>
  <sheetFormatPr defaultColWidth="9.140625" defaultRowHeight="12.75" outlineLevelRow="1" x14ac:dyDescent="0.2"/>
  <cols>
    <col min="1" max="1" width="30.28515625" style="706" customWidth="1"/>
    <col min="2" max="2" width="16.140625" style="706" customWidth="1"/>
    <col min="3" max="6" width="14" style="706" customWidth="1"/>
    <col min="7" max="7" width="20.28515625" style="706" customWidth="1"/>
    <col min="8" max="16384" width="9.140625" style="706"/>
  </cols>
  <sheetData>
    <row r="1" spans="1:18" customFormat="1" ht="15.75" thickBot="1" x14ac:dyDescent="0.4">
      <c r="A1" s="229" t="str">
        <f>'SUMMARY FORM'!A2</f>
        <v>FY21 SELF-SUPPORTING BUDGET REQUEST</v>
      </c>
      <c r="B1" s="230"/>
      <c r="C1" s="230"/>
      <c r="D1" s="230"/>
      <c r="E1" s="230"/>
      <c r="F1" s="230"/>
      <c r="G1" s="231" t="s">
        <v>673</v>
      </c>
    </row>
    <row r="2" spans="1:18" customFormat="1" ht="13.5" thickTop="1" x14ac:dyDescent="0.2">
      <c r="G2" s="322" t="s">
        <v>611</v>
      </c>
    </row>
    <row r="3" spans="1:18" customFormat="1" x14ac:dyDescent="0.2">
      <c r="A3" s="167"/>
      <c r="F3" s="1299" t="str">
        <f>'SUMMARY FORM'!AF2</f>
        <v>0  0  0  NEW</v>
      </c>
      <c r="G3" s="1300"/>
    </row>
    <row r="4" spans="1:18" s="766" customFormat="1" x14ac:dyDescent="0.2">
      <c r="A4" s="705"/>
      <c r="B4" s="705"/>
      <c r="C4" s="705"/>
      <c r="D4" s="705"/>
      <c r="E4" s="705"/>
      <c r="F4" s="705"/>
      <c r="G4" s="705"/>
      <c r="H4" s="705"/>
      <c r="I4" s="705"/>
      <c r="J4" s="705"/>
      <c r="K4" s="705"/>
      <c r="L4" s="705"/>
      <c r="M4" s="705"/>
      <c r="N4" s="705"/>
      <c r="O4" s="705"/>
      <c r="P4" s="705"/>
      <c r="Q4" s="705"/>
    </row>
    <row r="5" spans="1:18" s="766" customFormat="1" x14ac:dyDescent="0.2">
      <c r="A5" s="705"/>
      <c r="B5" s="705"/>
      <c r="C5" s="705"/>
      <c r="D5" s="705"/>
      <c r="E5" s="705"/>
      <c r="F5" s="705"/>
      <c r="G5" s="705"/>
      <c r="H5" s="705"/>
      <c r="I5" s="705"/>
      <c r="J5" s="705"/>
      <c r="K5" s="705"/>
      <c r="L5" s="705"/>
      <c r="M5" s="705"/>
      <c r="N5" s="705"/>
      <c r="O5" s="705"/>
      <c r="P5" s="705"/>
      <c r="Q5" s="705"/>
    </row>
    <row r="6" spans="1:18" s="766" customFormat="1" outlineLevel="1" x14ac:dyDescent="0.2">
      <c r="A6" s="1049" t="s">
        <v>911</v>
      </c>
      <c r="B6" s="1050"/>
      <c r="C6" s="1050"/>
      <c r="D6" s="1050"/>
      <c r="E6" s="705"/>
      <c r="F6" s="705"/>
      <c r="G6" s="705"/>
      <c r="H6" s="705"/>
      <c r="I6" s="705"/>
      <c r="J6" s="705"/>
      <c r="K6" s="705"/>
      <c r="L6" s="705"/>
      <c r="M6" s="705"/>
      <c r="N6" s="705"/>
      <c r="O6" s="705"/>
      <c r="P6" s="705"/>
      <c r="Q6" s="705"/>
    </row>
    <row r="7" spans="1:18" s="766" customFormat="1" outlineLevel="1" x14ac:dyDescent="0.2">
      <c r="A7" s="707" t="s">
        <v>778</v>
      </c>
      <c r="B7" s="708"/>
      <c r="C7" s="708"/>
      <c r="D7" s="708"/>
      <c r="E7" s="708"/>
      <c r="F7" s="708"/>
      <c r="G7" s="317"/>
      <c r="H7" s="767"/>
      <c r="I7" s="767"/>
      <c r="J7" s="767"/>
      <c r="K7" s="767"/>
      <c r="L7" s="767"/>
      <c r="M7" s="767"/>
      <c r="N7" s="767"/>
      <c r="O7" s="767"/>
      <c r="P7" s="767"/>
      <c r="Q7" s="767"/>
      <c r="R7" s="767"/>
    </row>
    <row r="8" spans="1:18" s="766" customFormat="1" ht="18" customHeight="1" outlineLevel="1" x14ac:dyDescent="0.2">
      <c r="A8" s="711" t="s">
        <v>1176</v>
      </c>
      <c r="B8" s="708"/>
      <c r="C8" s="708"/>
      <c r="D8" s="708"/>
      <c r="E8" s="708"/>
      <c r="F8" s="708"/>
      <c r="G8" s="317"/>
      <c r="H8" s="767"/>
      <c r="I8" s="767"/>
      <c r="J8" s="767"/>
      <c r="K8" s="767"/>
      <c r="L8" s="767"/>
      <c r="M8" s="767"/>
      <c r="N8" s="767"/>
      <c r="O8" s="767"/>
      <c r="P8" s="767"/>
      <c r="Q8" s="767"/>
      <c r="R8" s="767"/>
    </row>
    <row r="9" spans="1:18" s="766" customFormat="1" ht="18" customHeight="1" outlineLevel="1" x14ac:dyDescent="0.2">
      <c r="A9" s="711" t="s">
        <v>1175</v>
      </c>
      <c r="C9" s="317"/>
      <c r="D9" s="317"/>
      <c r="E9" s="708"/>
      <c r="F9" s="708"/>
      <c r="G9" s="317"/>
      <c r="H9" s="767"/>
      <c r="I9" s="767"/>
      <c r="J9" s="767"/>
      <c r="K9" s="767"/>
      <c r="L9" s="767"/>
      <c r="M9" s="767"/>
      <c r="N9" s="767"/>
      <c r="O9" s="767"/>
      <c r="P9" s="767"/>
      <c r="Q9" s="767"/>
      <c r="R9" s="767"/>
    </row>
    <row r="10" spans="1:18" s="766" customFormat="1" ht="18" customHeight="1" outlineLevel="1" x14ac:dyDescent="0.2">
      <c r="A10" s="711" t="s">
        <v>3899</v>
      </c>
      <c r="C10" s="317"/>
      <c r="D10" s="317"/>
      <c r="E10" s="708"/>
      <c r="F10" s="708"/>
      <c r="G10" s="317"/>
      <c r="H10" s="767"/>
      <c r="I10" s="767"/>
      <c r="J10" s="767"/>
      <c r="K10" s="767"/>
      <c r="L10" s="767"/>
      <c r="M10" s="767"/>
      <c r="N10" s="767"/>
      <c r="O10" s="767"/>
      <c r="P10" s="767"/>
      <c r="Q10" s="767"/>
      <c r="R10" s="767"/>
    </row>
    <row r="11" spans="1:18" s="766" customFormat="1" outlineLevel="1" x14ac:dyDescent="0.2">
      <c r="A11" s="712"/>
      <c r="B11" s="317"/>
      <c r="C11" s="317"/>
      <c r="D11" s="317"/>
      <c r="E11" s="708"/>
      <c r="F11" s="708"/>
      <c r="G11" s="317"/>
      <c r="H11" s="767"/>
      <c r="I11" s="767"/>
      <c r="J11" s="767"/>
      <c r="K11" s="767"/>
      <c r="L11" s="767"/>
      <c r="M11" s="767"/>
      <c r="N11" s="767"/>
      <c r="O11" s="767"/>
      <c r="P11" s="767"/>
      <c r="Q11" s="767"/>
      <c r="R11" s="767"/>
    </row>
    <row r="12" spans="1:18" s="766" customFormat="1" outlineLevel="1" x14ac:dyDescent="0.2">
      <c r="A12" s="713" t="s">
        <v>1177</v>
      </c>
      <c r="B12" s="317"/>
      <c r="C12" s="317"/>
      <c r="D12" s="317"/>
      <c r="E12" s="708"/>
      <c r="F12" s="708"/>
      <c r="G12" s="317"/>
      <c r="H12" s="767"/>
      <c r="I12" s="767"/>
      <c r="J12" s="767"/>
      <c r="K12" s="767"/>
      <c r="L12" s="767"/>
      <c r="M12" s="767"/>
      <c r="N12" s="767"/>
      <c r="O12" s="767"/>
      <c r="P12" s="767"/>
      <c r="Q12" s="767"/>
      <c r="R12" s="767"/>
    </row>
    <row r="13" spans="1:18" s="766" customFormat="1" x14ac:dyDescent="0.2">
      <c r="A13" s="705"/>
      <c r="B13" s="705"/>
      <c r="C13" s="705"/>
      <c r="D13" s="705"/>
      <c r="E13" s="705"/>
      <c r="F13" s="705"/>
      <c r="G13" s="705"/>
      <c r="H13" s="705"/>
      <c r="I13" s="705"/>
      <c r="J13" s="705"/>
      <c r="K13" s="705"/>
      <c r="L13" s="705"/>
      <c r="M13" s="705"/>
      <c r="N13" s="705"/>
      <c r="O13" s="705"/>
      <c r="P13" s="705"/>
      <c r="Q13" s="705"/>
      <c r="R13" s="705"/>
    </row>
    <row r="14" spans="1:18" s="766" customFormat="1" x14ac:dyDescent="0.2">
      <c r="A14" s="705"/>
      <c r="B14" s="705"/>
      <c r="C14" s="705"/>
      <c r="D14" s="705"/>
      <c r="E14" s="705"/>
      <c r="F14" s="705"/>
      <c r="G14" s="705"/>
      <c r="H14" s="705"/>
      <c r="I14" s="705"/>
      <c r="J14" s="705"/>
      <c r="K14" s="705"/>
      <c r="L14" s="705"/>
      <c r="M14" s="705"/>
      <c r="N14" s="705"/>
      <c r="O14" s="705"/>
      <c r="P14" s="705"/>
      <c r="Q14" s="705"/>
      <c r="R14" s="705"/>
    </row>
    <row r="15" spans="1:18" s="766" customFormat="1" x14ac:dyDescent="0.2">
      <c r="A15" s="705"/>
      <c r="B15" s="705"/>
      <c r="C15" s="705"/>
      <c r="D15" s="705"/>
      <c r="E15" s="705"/>
      <c r="F15" s="705"/>
      <c r="G15" s="705"/>
      <c r="H15" s="705"/>
      <c r="I15" s="705"/>
      <c r="J15" s="705"/>
      <c r="K15" s="705"/>
      <c r="L15" s="705"/>
      <c r="M15" s="705"/>
      <c r="N15" s="705"/>
      <c r="O15" s="705"/>
      <c r="P15" s="705"/>
      <c r="Q15" s="705"/>
      <c r="R15" s="705"/>
    </row>
    <row r="16" spans="1:18" s="766" customFormat="1" x14ac:dyDescent="0.2">
      <c r="A16" s="705"/>
      <c r="B16" s="705"/>
      <c r="C16" s="705"/>
      <c r="D16" s="705"/>
      <c r="E16" s="705"/>
      <c r="F16" s="705"/>
      <c r="G16" s="705"/>
      <c r="H16" s="705"/>
      <c r="I16" s="705"/>
      <c r="J16" s="705"/>
      <c r="K16" s="705"/>
      <c r="L16" s="705"/>
      <c r="M16" s="705"/>
      <c r="N16" s="705"/>
      <c r="O16" s="705"/>
      <c r="P16" s="705"/>
      <c r="Q16" s="705"/>
      <c r="R16" s="705"/>
    </row>
    <row r="17" spans="1:18" s="766" customFormat="1" x14ac:dyDescent="0.2">
      <c r="A17" s="705"/>
      <c r="B17" s="705"/>
      <c r="C17" s="705"/>
      <c r="D17" s="705"/>
      <c r="E17" s="705"/>
      <c r="F17" s="705"/>
      <c r="G17" s="705"/>
      <c r="H17" s="705"/>
      <c r="I17" s="705"/>
      <c r="J17" s="705"/>
      <c r="K17" s="705"/>
      <c r="L17" s="705"/>
      <c r="M17" s="705"/>
      <c r="N17" s="705"/>
      <c r="O17" s="705"/>
      <c r="P17" s="705"/>
      <c r="Q17" s="705"/>
      <c r="R17" s="705"/>
    </row>
    <row r="18" spans="1:18" s="705" customFormat="1" x14ac:dyDescent="0.2"/>
    <row r="19" spans="1:18" s="705" customFormat="1" x14ac:dyDescent="0.2"/>
    <row r="20" spans="1:18" s="705" customFormat="1" x14ac:dyDescent="0.2"/>
    <row r="21" spans="1:18" s="705" customFormat="1" x14ac:dyDescent="0.2"/>
    <row r="22" spans="1:18" s="705" customFormat="1" x14ac:dyDescent="0.2"/>
    <row r="23" spans="1:18" s="705" customFormat="1" x14ac:dyDescent="0.2"/>
    <row r="24" spans="1:18" s="705" customFormat="1" x14ac:dyDescent="0.2"/>
    <row r="25" spans="1:18" s="705" customFormat="1" x14ac:dyDescent="0.2"/>
    <row r="26" spans="1:18" s="766" customFormat="1" x14ac:dyDescent="0.2">
      <c r="A26" s="705"/>
      <c r="B26" s="705"/>
      <c r="C26" s="705"/>
      <c r="D26" s="705"/>
      <c r="E26" s="705"/>
      <c r="F26" s="705"/>
      <c r="G26" s="705"/>
      <c r="H26" s="705"/>
      <c r="I26" s="705"/>
      <c r="J26" s="705"/>
      <c r="K26" s="705"/>
      <c r="L26" s="705"/>
      <c r="M26" s="705"/>
      <c r="N26" s="705"/>
      <c r="O26" s="705"/>
      <c r="P26" s="705"/>
      <c r="Q26" s="705"/>
      <c r="R26" s="705"/>
    </row>
    <row r="27" spans="1:18" s="766" customFormat="1" x14ac:dyDescent="0.2">
      <c r="A27" s="705"/>
      <c r="B27" s="705"/>
      <c r="C27" s="705"/>
      <c r="D27" s="705"/>
      <c r="E27" s="705"/>
      <c r="F27" s="705"/>
      <c r="G27" s="705"/>
      <c r="H27" s="705"/>
      <c r="I27" s="705"/>
      <c r="J27" s="705"/>
      <c r="K27" s="705"/>
      <c r="L27" s="705"/>
      <c r="M27" s="705"/>
      <c r="N27" s="705"/>
      <c r="O27" s="705"/>
      <c r="P27" s="705"/>
      <c r="Q27" s="705"/>
      <c r="R27" s="705"/>
    </row>
    <row r="28" spans="1:18" s="766" customFormat="1" x14ac:dyDescent="0.2">
      <c r="A28" s="705"/>
      <c r="B28" s="705"/>
      <c r="C28" s="705"/>
      <c r="D28" s="705"/>
      <c r="E28" s="705"/>
      <c r="F28" s="705"/>
      <c r="G28" s="705"/>
      <c r="H28" s="705"/>
      <c r="I28" s="705"/>
      <c r="J28" s="705"/>
      <c r="K28" s="705"/>
      <c r="L28" s="705"/>
      <c r="M28" s="705"/>
      <c r="N28" s="705"/>
      <c r="O28" s="705"/>
      <c r="P28" s="705"/>
      <c r="Q28" s="705"/>
      <c r="R28" s="705"/>
    </row>
    <row r="29" spans="1:18" s="766" customFormat="1" x14ac:dyDescent="0.2">
      <c r="A29" s="705"/>
      <c r="B29" s="705"/>
      <c r="C29" s="705"/>
      <c r="D29" s="705"/>
      <c r="E29" s="705"/>
      <c r="F29" s="705"/>
      <c r="G29" s="705"/>
      <c r="H29" s="705"/>
      <c r="I29" s="705"/>
      <c r="J29" s="705"/>
      <c r="K29" s="705"/>
      <c r="L29" s="705"/>
      <c r="M29" s="705"/>
      <c r="N29" s="705"/>
      <c r="O29" s="705"/>
      <c r="P29" s="705"/>
      <c r="Q29" s="705"/>
      <c r="R29" s="705"/>
    </row>
    <row r="30" spans="1:18" s="766" customFormat="1" x14ac:dyDescent="0.2">
      <c r="A30" s="705"/>
      <c r="B30" s="705"/>
      <c r="C30" s="705"/>
      <c r="D30" s="705"/>
      <c r="E30" s="705"/>
      <c r="F30" s="705"/>
      <c r="G30" s="705"/>
      <c r="H30" s="705"/>
      <c r="I30" s="705"/>
      <c r="J30" s="705"/>
      <c r="K30" s="705"/>
      <c r="L30" s="705"/>
      <c r="M30" s="705"/>
      <c r="N30" s="705"/>
      <c r="O30" s="705"/>
      <c r="P30" s="705"/>
      <c r="Q30" s="705"/>
      <c r="R30" s="705"/>
    </row>
    <row r="31" spans="1:18" s="766" customFormat="1" x14ac:dyDescent="0.2">
      <c r="A31" s="705"/>
      <c r="B31" s="705"/>
      <c r="C31" s="705"/>
      <c r="D31" s="705"/>
      <c r="E31" s="705"/>
      <c r="F31" s="705"/>
      <c r="G31" s="705"/>
      <c r="H31" s="705"/>
      <c r="I31" s="705"/>
      <c r="J31" s="705"/>
      <c r="K31" s="705"/>
      <c r="L31" s="705"/>
      <c r="M31" s="705"/>
      <c r="N31" s="705"/>
      <c r="O31" s="705"/>
      <c r="P31" s="705"/>
      <c r="Q31" s="705"/>
      <c r="R31" s="705"/>
    </row>
    <row r="32" spans="1:18" s="766" customFormat="1" x14ac:dyDescent="0.2">
      <c r="A32" s="705"/>
      <c r="B32" s="705"/>
      <c r="C32" s="705"/>
      <c r="D32" s="705"/>
      <c r="E32" s="705"/>
      <c r="F32" s="705"/>
      <c r="G32" s="705"/>
      <c r="H32" s="705"/>
      <c r="I32" s="705"/>
      <c r="J32" s="705"/>
      <c r="K32" s="705"/>
      <c r="L32" s="705"/>
      <c r="M32" s="705"/>
      <c r="N32" s="705"/>
      <c r="O32" s="705"/>
      <c r="P32" s="705"/>
      <c r="Q32" s="705"/>
      <c r="R32" s="705"/>
    </row>
    <row r="33" spans="1:18" s="766" customFormat="1" x14ac:dyDescent="0.2">
      <c r="A33" s="705"/>
      <c r="B33" s="705"/>
      <c r="C33" s="705"/>
      <c r="D33" s="705"/>
      <c r="E33" s="705"/>
      <c r="F33" s="705"/>
      <c r="G33" s="705"/>
      <c r="H33" s="705"/>
      <c r="I33" s="705"/>
      <c r="J33" s="705"/>
      <c r="K33" s="705"/>
      <c r="L33" s="705"/>
      <c r="M33" s="705"/>
      <c r="N33" s="705"/>
      <c r="O33" s="705"/>
      <c r="P33" s="705"/>
      <c r="Q33" s="705"/>
      <c r="R33" s="705"/>
    </row>
    <row r="34" spans="1:18" s="766" customFormat="1" x14ac:dyDescent="0.2">
      <c r="A34" s="705"/>
      <c r="B34" s="705"/>
      <c r="C34" s="705"/>
      <c r="D34" s="705"/>
      <c r="E34" s="705"/>
      <c r="F34" s="705"/>
      <c r="G34" s="705"/>
      <c r="H34" s="705"/>
      <c r="I34" s="705"/>
      <c r="J34" s="705"/>
      <c r="K34" s="705"/>
      <c r="L34" s="705"/>
      <c r="M34" s="705"/>
      <c r="N34" s="705"/>
      <c r="O34" s="705"/>
      <c r="P34" s="705"/>
      <c r="Q34" s="705"/>
      <c r="R34" s="705"/>
    </row>
    <row r="35" spans="1:18" s="766" customFormat="1" x14ac:dyDescent="0.2">
      <c r="A35" s="705"/>
      <c r="B35" s="705"/>
      <c r="C35" s="705"/>
      <c r="D35" s="705"/>
      <c r="E35" s="705"/>
      <c r="F35" s="705"/>
      <c r="G35" s="705"/>
      <c r="H35" s="705"/>
      <c r="I35" s="705"/>
      <c r="J35" s="705"/>
      <c r="K35" s="705"/>
      <c r="L35" s="705"/>
      <c r="M35" s="705"/>
      <c r="N35" s="705"/>
      <c r="O35" s="705"/>
      <c r="P35" s="705"/>
      <c r="Q35" s="705"/>
      <c r="R35" s="705"/>
    </row>
    <row r="36" spans="1:18" s="766" customFormat="1" x14ac:dyDescent="0.2">
      <c r="A36" s="705"/>
      <c r="B36" s="705"/>
      <c r="C36" s="705"/>
      <c r="D36" s="705"/>
      <c r="E36" s="705"/>
      <c r="F36" s="705"/>
      <c r="G36" s="705"/>
      <c r="H36" s="705"/>
      <c r="I36" s="705"/>
      <c r="J36" s="705"/>
      <c r="K36" s="705"/>
      <c r="L36" s="705"/>
      <c r="M36" s="705"/>
      <c r="N36" s="705"/>
      <c r="O36" s="705"/>
      <c r="P36" s="705"/>
      <c r="Q36" s="705"/>
      <c r="R36" s="705"/>
    </row>
    <row r="37" spans="1:18" s="766" customFormat="1" x14ac:dyDescent="0.2">
      <c r="A37" s="705"/>
      <c r="B37" s="705"/>
      <c r="C37" s="705"/>
      <c r="D37" s="705"/>
      <c r="E37" s="705"/>
      <c r="F37" s="705"/>
      <c r="G37" s="705"/>
      <c r="H37" s="705"/>
      <c r="I37" s="705"/>
      <c r="J37" s="705"/>
      <c r="K37" s="705"/>
      <c r="L37" s="705"/>
      <c r="M37" s="705"/>
      <c r="N37" s="705"/>
      <c r="O37" s="705"/>
      <c r="P37" s="705"/>
      <c r="Q37" s="705"/>
      <c r="R37" s="705"/>
    </row>
    <row r="38" spans="1:18" s="766" customFormat="1" x14ac:dyDescent="0.2">
      <c r="A38" s="705"/>
      <c r="B38" s="705"/>
      <c r="C38" s="705"/>
      <c r="D38" s="705"/>
      <c r="E38" s="705"/>
      <c r="F38" s="705"/>
      <c r="G38" s="705"/>
      <c r="H38" s="705"/>
      <c r="I38" s="705"/>
      <c r="J38" s="705"/>
      <c r="K38" s="705"/>
      <c r="L38" s="705"/>
      <c r="M38" s="705"/>
      <c r="N38" s="705"/>
      <c r="O38" s="705"/>
      <c r="P38" s="705"/>
      <c r="Q38" s="705"/>
      <c r="R38" s="705"/>
    </row>
    <row r="39" spans="1:18" s="766" customFormat="1" x14ac:dyDescent="0.2">
      <c r="A39" s="705"/>
      <c r="B39" s="705"/>
      <c r="C39" s="705"/>
      <c r="D39" s="705"/>
      <c r="E39" s="705"/>
      <c r="F39" s="705"/>
      <c r="G39" s="705"/>
      <c r="H39" s="705"/>
      <c r="I39" s="705"/>
      <c r="J39" s="705"/>
      <c r="K39" s="705"/>
      <c r="L39" s="705"/>
      <c r="M39" s="705"/>
      <c r="N39" s="705"/>
      <c r="O39" s="705"/>
      <c r="P39" s="705"/>
      <c r="Q39" s="705"/>
      <c r="R39" s="705"/>
    </row>
    <row r="40" spans="1:18" s="766" customFormat="1" x14ac:dyDescent="0.2">
      <c r="A40" s="705"/>
      <c r="B40" s="705"/>
      <c r="C40" s="705"/>
      <c r="D40" s="705"/>
      <c r="E40" s="705"/>
      <c r="F40" s="705"/>
      <c r="G40" s="705"/>
      <c r="H40" s="705"/>
      <c r="I40" s="705"/>
      <c r="J40" s="705"/>
      <c r="K40" s="705"/>
      <c r="L40" s="705"/>
      <c r="M40" s="705"/>
      <c r="N40" s="705"/>
      <c r="O40" s="705"/>
      <c r="P40" s="705"/>
      <c r="Q40" s="705"/>
      <c r="R40" s="705"/>
    </row>
    <row r="41" spans="1:18" s="766" customFormat="1" x14ac:dyDescent="0.2">
      <c r="A41" s="705"/>
      <c r="B41" s="705"/>
      <c r="C41" s="705"/>
      <c r="D41" s="705"/>
      <c r="E41" s="705"/>
      <c r="F41" s="705"/>
      <c r="G41" s="705"/>
      <c r="H41" s="705"/>
      <c r="I41" s="705"/>
      <c r="J41" s="705"/>
      <c r="K41" s="705"/>
      <c r="L41" s="705"/>
      <c r="M41" s="705"/>
      <c r="N41" s="705"/>
      <c r="O41" s="705"/>
      <c r="P41" s="705"/>
      <c r="Q41" s="705"/>
      <c r="R41" s="705"/>
    </row>
    <row r="42" spans="1:18" s="766" customFormat="1" x14ac:dyDescent="0.2">
      <c r="A42" s="720"/>
      <c r="B42" s="705"/>
      <c r="C42" s="705"/>
      <c r="D42" s="705"/>
      <c r="E42" s="705"/>
      <c r="F42" s="705"/>
      <c r="G42" s="705"/>
      <c r="H42" s="705"/>
      <c r="I42" s="705"/>
      <c r="J42" s="705"/>
      <c r="K42" s="705"/>
      <c r="L42" s="705"/>
      <c r="M42" s="705"/>
      <c r="N42" s="705"/>
      <c r="O42" s="705"/>
      <c r="P42" s="705"/>
      <c r="Q42" s="705"/>
      <c r="R42" s="705"/>
    </row>
    <row r="43" spans="1:18" s="766" customFormat="1" x14ac:dyDescent="0.2">
      <c r="A43" s="705"/>
      <c r="B43" s="705"/>
      <c r="C43" s="705"/>
      <c r="D43" s="705"/>
      <c r="E43" s="705"/>
      <c r="F43" s="705"/>
      <c r="G43" s="705"/>
      <c r="H43" s="705"/>
      <c r="I43" s="705"/>
      <c r="J43" s="705"/>
      <c r="K43" s="705"/>
      <c r="L43" s="705"/>
      <c r="M43" s="705"/>
      <c r="N43" s="705"/>
      <c r="O43" s="705"/>
      <c r="P43" s="705"/>
      <c r="Q43" s="705"/>
      <c r="R43" s="705"/>
    </row>
    <row r="44" spans="1:18" s="766" customFormat="1" x14ac:dyDescent="0.2">
      <c r="A44" s="705"/>
      <c r="B44" s="705"/>
      <c r="C44" s="705"/>
      <c r="D44" s="705"/>
      <c r="E44" s="705"/>
      <c r="F44" s="705"/>
      <c r="G44" s="705"/>
      <c r="H44" s="705"/>
      <c r="I44" s="705"/>
      <c r="J44" s="705"/>
      <c r="K44" s="705"/>
      <c r="L44" s="705"/>
      <c r="M44" s="705"/>
      <c r="N44" s="705"/>
      <c r="O44" s="705"/>
      <c r="P44" s="705"/>
      <c r="Q44" s="705"/>
      <c r="R44" s="705"/>
    </row>
    <row r="45" spans="1:18" s="766" customFormat="1" x14ac:dyDescent="0.2">
      <c r="A45" s="705"/>
      <c r="B45" s="705"/>
      <c r="C45" s="705"/>
      <c r="D45" s="705"/>
      <c r="E45" s="705"/>
      <c r="F45" s="705"/>
      <c r="G45" s="705"/>
      <c r="H45" s="705"/>
      <c r="I45" s="705"/>
      <c r="J45" s="705"/>
      <c r="K45" s="705"/>
      <c r="L45" s="705"/>
      <c r="M45" s="705"/>
      <c r="N45" s="705"/>
      <c r="O45" s="705"/>
      <c r="P45" s="705"/>
      <c r="Q45" s="705"/>
      <c r="R45" s="705"/>
    </row>
    <row r="46" spans="1:18" s="766" customFormat="1" x14ac:dyDescent="0.2">
      <c r="A46" s="705"/>
      <c r="B46" s="705"/>
      <c r="C46" s="705"/>
      <c r="D46" s="705"/>
      <c r="E46" s="705"/>
      <c r="F46" s="705"/>
      <c r="G46" s="705"/>
      <c r="H46" s="705"/>
      <c r="I46" s="705"/>
      <c r="J46" s="705"/>
      <c r="K46" s="705"/>
      <c r="L46" s="705"/>
      <c r="M46" s="705"/>
      <c r="N46" s="705"/>
      <c r="O46" s="705"/>
      <c r="P46" s="705"/>
      <c r="Q46" s="705"/>
      <c r="R46" s="705"/>
    </row>
    <row r="47" spans="1:18" s="766" customFormat="1" x14ac:dyDescent="0.2">
      <c r="A47" s="705"/>
      <c r="B47" s="705"/>
      <c r="C47" s="705"/>
      <c r="D47" s="705"/>
      <c r="E47" s="705"/>
      <c r="F47" s="705"/>
      <c r="G47" s="705"/>
      <c r="H47" s="705"/>
      <c r="I47" s="705"/>
      <c r="J47" s="705"/>
      <c r="K47" s="705"/>
      <c r="L47" s="705"/>
      <c r="M47" s="705"/>
      <c r="N47" s="705"/>
      <c r="O47" s="705"/>
      <c r="P47" s="705"/>
      <c r="Q47" s="705"/>
      <c r="R47" s="705"/>
    </row>
    <row r="48" spans="1:18" s="766" customFormat="1" x14ac:dyDescent="0.2">
      <c r="A48" s="705"/>
      <c r="B48" s="705"/>
      <c r="C48" s="705"/>
      <c r="D48" s="705"/>
      <c r="E48" s="705"/>
      <c r="F48" s="705"/>
      <c r="G48" s="705"/>
      <c r="H48" s="705"/>
      <c r="I48" s="705"/>
      <c r="J48" s="705"/>
      <c r="K48" s="705"/>
      <c r="L48" s="705"/>
      <c r="M48" s="705"/>
      <c r="N48" s="705"/>
      <c r="O48" s="705"/>
      <c r="P48" s="705"/>
      <c r="Q48" s="705"/>
      <c r="R48" s="705"/>
    </row>
    <row r="49" spans="1:18" s="766" customFormat="1" x14ac:dyDescent="0.2">
      <c r="A49" s="705"/>
      <c r="B49" s="705"/>
      <c r="C49" s="705"/>
      <c r="D49" s="705"/>
      <c r="E49" s="705"/>
      <c r="F49" s="705"/>
      <c r="G49" s="705"/>
      <c r="H49" s="705"/>
      <c r="I49" s="705"/>
      <c r="J49" s="705"/>
      <c r="K49" s="705"/>
      <c r="L49" s="705"/>
      <c r="M49" s="705"/>
      <c r="N49" s="705"/>
      <c r="O49" s="705"/>
      <c r="P49" s="705"/>
      <c r="Q49" s="705"/>
      <c r="R49" s="705"/>
    </row>
    <row r="50" spans="1:18" s="766" customFormat="1" x14ac:dyDescent="0.2">
      <c r="A50" s="705"/>
      <c r="B50" s="705"/>
      <c r="C50" s="705"/>
      <c r="D50" s="705"/>
      <c r="E50" s="705"/>
      <c r="F50" s="705"/>
      <c r="G50" s="705"/>
      <c r="H50" s="705"/>
      <c r="I50" s="705"/>
      <c r="J50" s="705"/>
      <c r="K50" s="705"/>
      <c r="L50" s="705"/>
      <c r="M50" s="705"/>
      <c r="N50" s="705"/>
      <c r="O50" s="705"/>
      <c r="P50" s="705"/>
      <c r="Q50" s="705"/>
      <c r="R50" s="705"/>
    </row>
    <row r="51" spans="1:18" s="766" customFormat="1" x14ac:dyDescent="0.2">
      <c r="A51" s="705"/>
      <c r="B51" s="705"/>
      <c r="C51" s="705"/>
      <c r="D51" s="705"/>
      <c r="E51" s="705"/>
      <c r="F51" s="705"/>
      <c r="G51" s="705"/>
      <c r="H51" s="705"/>
      <c r="I51" s="705"/>
      <c r="J51" s="705"/>
      <c r="K51" s="705"/>
      <c r="L51" s="705"/>
      <c r="M51" s="705"/>
      <c r="N51" s="705"/>
      <c r="O51" s="705"/>
      <c r="P51" s="705"/>
      <c r="Q51" s="705"/>
      <c r="R51" s="705"/>
    </row>
    <row r="52" spans="1:18" s="766" customFormat="1" x14ac:dyDescent="0.2">
      <c r="A52" s="705"/>
      <c r="B52" s="705"/>
      <c r="C52" s="705"/>
      <c r="D52" s="705"/>
      <c r="E52" s="705"/>
      <c r="F52" s="705"/>
      <c r="G52" s="705"/>
      <c r="H52" s="705"/>
      <c r="I52" s="705"/>
      <c r="J52" s="705"/>
      <c r="K52" s="705"/>
      <c r="L52" s="705"/>
      <c r="M52" s="705"/>
      <c r="N52" s="705"/>
      <c r="O52" s="705"/>
      <c r="P52" s="705"/>
      <c r="Q52" s="705"/>
      <c r="R52" s="705"/>
    </row>
    <row r="53" spans="1:18" s="766" customFormat="1" x14ac:dyDescent="0.2">
      <c r="A53" s="705"/>
      <c r="B53" s="705"/>
      <c r="C53" s="705"/>
      <c r="D53" s="705"/>
      <c r="E53" s="705"/>
      <c r="F53" s="705"/>
      <c r="G53" s="705"/>
      <c r="H53" s="705"/>
      <c r="I53" s="705"/>
      <c r="J53" s="705"/>
      <c r="K53" s="705"/>
      <c r="L53" s="705"/>
      <c r="M53" s="705"/>
      <c r="N53" s="705"/>
      <c r="O53" s="705"/>
      <c r="P53" s="705"/>
      <c r="Q53" s="705"/>
      <c r="R53" s="705"/>
    </row>
    <row r="54" spans="1:18" s="766" customFormat="1" x14ac:dyDescent="0.2">
      <c r="A54" s="705"/>
      <c r="B54" s="705"/>
      <c r="C54" s="705"/>
      <c r="D54" s="705"/>
      <c r="E54" s="705"/>
      <c r="F54" s="705"/>
      <c r="G54" s="705"/>
      <c r="H54" s="705"/>
      <c r="I54" s="705"/>
      <c r="J54" s="705"/>
      <c r="K54" s="705"/>
      <c r="L54" s="705"/>
      <c r="M54" s="705"/>
      <c r="N54" s="705"/>
      <c r="O54" s="705"/>
      <c r="P54" s="705"/>
      <c r="Q54" s="705"/>
      <c r="R54" s="705"/>
    </row>
    <row r="55" spans="1:18" s="766" customFormat="1" x14ac:dyDescent="0.2">
      <c r="A55" s="705"/>
      <c r="B55" s="705"/>
      <c r="C55" s="705"/>
      <c r="D55" s="705"/>
      <c r="E55" s="705"/>
      <c r="F55" s="705"/>
      <c r="G55" s="705"/>
      <c r="H55" s="705"/>
      <c r="I55" s="705"/>
      <c r="J55" s="705"/>
      <c r="K55" s="705"/>
      <c r="L55" s="705"/>
      <c r="M55" s="705"/>
      <c r="N55" s="705"/>
      <c r="O55" s="705"/>
      <c r="P55" s="705"/>
      <c r="Q55" s="705"/>
      <c r="R55" s="705"/>
    </row>
    <row r="56" spans="1:18" s="766" customFormat="1" x14ac:dyDescent="0.2">
      <c r="A56" s="705"/>
      <c r="B56" s="705"/>
      <c r="C56" s="705"/>
      <c r="D56" s="705"/>
      <c r="E56" s="705"/>
      <c r="F56" s="705"/>
      <c r="G56" s="705"/>
      <c r="H56" s="705"/>
      <c r="I56" s="705"/>
      <c r="J56" s="705"/>
      <c r="K56" s="705"/>
      <c r="L56" s="705"/>
      <c r="M56" s="705"/>
      <c r="N56" s="705"/>
      <c r="O56" s="705"/>
      <c r="P56" s="705"/>
      <c r="Q56" s="705"/>
      <c r="R56" s="705"/>
    </row>
    <row r="57" spans="1:18" s="766" customFormat="1" x14ac:dyDescent="0.2">
      <c r="A57" s="705"/>
      <c r="B57" s="705"/>
      <c r="C57" s="705"/>
      <c r="D57" s="705"/>
      <c r="E57" s="705"/>
      <c r="F57" s="705"/>
      <c r="G57" s="705"/>
      <c r="H57" s="705"/>
      <c r="I57" s="705"/>
      <c r="J57" s="705"/>
      <c r="K57" s="705"/>
      <c r="L57" s="705"/>
      <c r="M57" s="705"/>
      <c r="N57" s="705"/>
      <c r="O57" s="705"/>
      <c r="P57" s="705"/>
      <c r="Q57" s="705"/>
      <c r="R57" s="705"/>
    </row>
    <row r="58" spans="1:18" s="766" customFormat="1" x14ac:dyDescent="0.2">
      <c r="A58" s="705"/>
      <c r="B58" s="705"/>
      <c r="C58" s="705"/>
      <c r="D58" s="705"/>
      <c r="E58" s="705"/>
      <c r="F58" s="705"/>
      <c r="G58" s="705"/>
      <c r="H58" s="705"/>
      <c r="I58" s="705"/>
      <c r="J58" s="705"/>
      <c r="K58" s="705"/>
      <c r="L58" s="705"/>
      <c r="M58" s="705"/>
      <c r="N58" s="705"/>
      <c r="O58" s="705"/>
      <c r="P58" s="705"/>
      <c r="Q58" s="705"/>
      <c r="R58" s="705"/>
    </row>
    <row r="59" spans="1:18" s="766" customFormat="1" x14ac:dyDescent="0.2">
      <c r="A59" s="705"/>
      <c r="B59" s="705"/>
      <c r="C59" s="705"/>
      <c r="D59" s="705"/>
      <c r="E59" s="705"/>
      <c r="F59" s="705"/>
      <c r="G59" s="705"/>
      <c r="H59" s="705"/>
      <c r="I59" s="705"/>
      <c r="J59" s="705"/>
      <c r="K59" s="705"/>
      <c r="L59" s="705"/>
      <c r="M59" s="705"/>
      <c r="N59" s="705"/>
      <c r="O59" s="705"/>
      <c r="P59" s="705"/>
      <c r="Q59" s="705"/>
      <c r="R59" s="705"/>
    </row>
    <row r="60" spans="1:18" s="766" customFormat="1" x14ac:dyDescent="0.2">
      <c r="A60" s="705"/>
      <c r="B60" s="705"/>
      <c r="C60" s="705"/>
      <c r="D60" s="705"/>
      <c r="E60" s="705"/>
      <c r="F60" s="705"/>
      <c r="G60" s="705"/>
      <c r="H60" s="705"/>
      <c r="I60" s="705"/>
      <c r="J60" s="705"/>
      <c r="K60" s="705"/>
      <c r="L60" s="705"/>
      <c r="M60" s="705"/>
      <c r="N60" s="705"/>
      <c r="O60" s="705"/>
      <c r="P60" s="705"/>
      <c r="Q60" s="705"/>
      <c r="R60" s="705"/>
    </row>
    <row r="61" spans="1:18" s="766" customFormat="1" x14ac:dyDescent="0.2">
      <c r="A61" s="705"/>
      <c r="B61" s="705"/>
      <c r="C61" s="705"/>
      <c r="D61" s="705"/>
      <c r="E61" s="705"/>
      <c r="F61" s="705"/>
      <c r="G61" s="705"/>
      <c r="H61" s="705"/>
      <c r="I61" s="705"/>
      <c r="J61" s="705"/>
      <c r="K61" s="705"/>
      <c r="L61" s="705"/>
      <c r="M61" s="705"/>
      <c r="N61" s="705"/>
      <c r="O61" s="705"/>
      <c r="P61" s="705"/>
      <c r="Q61" s="705"/>
      <c r="R61" s="705"/>
    </row>
    <row r="62" spans="1:18" s="766" customFormat="1" x14ac:dyDescent="0.2">
      <c r="A62" s="705"/>
      <c r="B62" s="705"/>
      <c r="C62" s="705"/>
      <c r="D62" s="705"/>
      <c r="E62" s="705"/>
      <c r="F62" s="705"/>
      <c r="G62" s="705"/>
      <c r="H62" s="705"/>
      <c r="I62" s="705"/>
      <c r="J62" s="705"/>
      <c r="K62" s="705"/>
      <c r="L62" s="705"/>
      <c r="M62" s="705"/>
      <c r="N62" s="705"/>
      <c r="O62" s="705"/>
      <c r="P62" s="705"/>
      <c r="Q62" s="705"/>
      <c r="R62" s="705"/>
    </row>
    <row r="63" spans="1:18" s="766" customFormat="1" x14ac:dyDescent="0.2">
      <c r="A63" s="705"/>
      <c r="B63" s="705"/>
      <c r="C63" s="705"/>
      <c r="D63" s="705"/>
      <c r="E63" s="705"/>
      <c r="F63" s="705"/>
      <c r="G63" s="705"/>
      <c r="H63" s="705"/>
      <c r="I63" s="705"/>
      <c r="J63" s="705"/>
      <c r="K63" s="705"/>
      <c r="L63" s="705"/>
      <c r="M63" s="705"/>
      <c r="N63" s="705"/>
      <c r="O63" s="705"/>
      <c r="P63" s="705"/>
      <c r="Q63" s="705"/>
      <c r="R63" s="705"/>
    </row>
    <row r="64" spans="1:18" s="766" customFormat="1" x14ac:dyDescent="0.2">
      <c r="A64" s="705"/>
      <c r="B64" s="705"/>
      <c r="C64" s="705"/>
      <c r="D64" s="705"/>
      <c r="E64" s="705"/>
      <c r="F64" s="705"/>
      <c r="G64" s="705"/>
      <c r="H64" s="705"/>
      <c r="I64" s="705"/>
      <c r="J64" s="705"/>
      <c r="K64" s="705"/>
      <c r="L64" s="705"/>
      <c r="M64" s="705"/>
      <c r="N64" s="705"/>
      <c r="O64" s="705"/>
      <c r="P64" s="705"/>
      <c r="Q64" s="705"/>
      <c r="R64" s="705"/>
    </row>
    <row r="65" spans="1:18" s="766" customFormat="1" x14ac:dyDescent="0.2">
      <c r="A65" s="705"/>
      <c r="B65" s="705"/>
      <c r="C65" s="705"/>
      <c r="D65" s="705"/>
      <c r="E65" s="705"/>
      <c r="F65" s="705"/>
      <c r="G65" s="705"/>
      <c r="H65" s="705"/>
      <c r="I65" s="705"/>
      <c r="J65" s="705"/>
      <c r="K65" s="705"/>
      <c r="L65" s="705"/>
      <c r="M65" s="705"/>
      <c r="N65" s="705"/>
      <c r="O65" s="705"/>
      <c r="P65" s="705"/>
      <c r="Q65" s="705"/>
      <c r="R65" s="705"/>
    </row>
    <row r="66" spans="1:18" s="766" customFormat="1" x14ac:dyDescent="0.2">
      <c r="A66" s="705"/>
      <c r="B66" s="705"/>
      <c r="C66" s="705"/>
      <c r="D66" s="705"/>
      <c r="E66" s="705"/>
      <c r="F66" s="705"/>
      <c r="G66" s="705"/>
      <c r="H66" s="705"/>
      <c r="I66" s="705"/>
      <c r="J66" s="705"/>
      <c r="K66" s="705"/>
      <c r="L66" s="705"/>
      <c r="M66" s="705"/>
      <c r="N66" s="705"/>
      <c r="O66" s="705"/>
      <c r="P66" s="705"/>
      <c r="Q66" s="705"/>
      <c r="R66" s="705"/>
    </row>
    <row r="67" spans="1:18" s="766" customFormat="1" x14ac:dyDescent="0.2">
      <c r="A67" s="705"/>
      <c r="B67" s="705"/>
      <c r="C67" s="705"/>
      <c r="D67" s="705"/>
      <c r="E67" s="705"/>
      <c r="F67" s="705"/>
      <c r="G67" s="705"/>
      <c r="H67" s="705"/>
      <c r="I67" s="705"/>
      <c r="J67" s="705"/>
      <c r="K67" s="705"/>
      <c r="L67" s="705"/>
      <c r="M67" s="705"/>
      <c r="N67" s="705"/>
      <c r="O67" s="705"/>
      <c r="P67" s="705"/>
      <c r="Q67" s="705"/>
      <c r="R67" s="705"/>
    </row>
    <row r="68" spans="1:18" s="766" customFormat="1" x14ac:dyDescent="0.2">
      <c r="A68" s="705"/>
      <c r="B68" s="705"/>
      <c r="C68" s="705"/>
      <c r="D68" s="705"/>
      <c r="E68" s="705"/>
      <c r="F68" s="705"/>
      <c r="G68" s="705"/>
      <c r="H68" s="705"/>
      <c r="I68" s="705"/>
      <c r="J68" s="705"/>
      <c r="K68" s="705"/>
      <c r="L68" s="705"/>
      <c r="M68" s="705"/>
      <c r="N68" s="705"/>
      <c r="O68" s="705"/>
      <c r="P68" s="705"/>
      <c r="Q68" s="705"/>
      <c r="R68" s="705"/>
    </row>
    <row r="69" spans="1:18" s="766" customFormat="1" x14ac:dyDescent="0.2">
      <c r="A69" s="705"/>
      <c r="B69" s="705"/>
      <c r="C69" s="705"/>
      <c r="D69" s="705"/>
      <c r="E69" s="705"/>
      <c r="F69" s="705"/>
      <c r="G69" s="705"/>
      <c r="H69" s="705"/>
      <c r="I69" s="705"/>
      <c r="J69" s="705"/>
      <c r="K69" s="705"/>
      <c r="L69" s="705"/>
      <c r="M69" s="705"/>
      <c r="N69" s="705"/>
      <c r="O69" s="705"/>
      <c r="P69" s="705"/>
      <c r="Q69" s="705"/>
      <c r="R69" s="705"/>
    </row>
    <row r="70" spans="1:18" s="766" customFormat="1" x14ac:dyDescent="0.2">
      <c r="A70" s="705"/>
      <c r="B70" s="705"/>
      <c r="C70" s="705"/>
      <c r="D70" s="705"/>
      <c r="E70" s="705"/>
      <c r="F70" s="705"/>
      <c r="G70" s="705"/>
      <c r="H70" s="705"/>
      <c r="I70" s="705"/>
      <c r="J70" s="705"/>
      <c r="K70" s="705"/>
      <c r="L70" s="705"/>
      <c r="M70" s="705"/>
      <c r="N70" s="705"/>
      <c r="O70" s="705"/>
      <c r="P70" s="705"/>
      <c r="Q70" s="705"/>
      <c r="R70" s="705"/>
    </row>
    <row r="71" spans="1:18" s="766" customFormat="1" x14ac:dyDescent="0.2">
      <c r="A71" s="705"/>
      <c r="B71" s="705"/>
      <c r="C71" s="705"/>
      <c r="D71" s="705"/>
      <c r="E71" s="705"/>
      <c r="F71" s="705"/>
      <c r="G71" s="705"/>
      <c r="H71" s="705"/>
      <c r="I71" s="705"/>
      <c r="J71" s="705"/>
      <c r="K71" s="705"/>
      <c r="L71" s="705"/>
      <c r="M71" s="705"/>
      <c r="N71" s="705"/>
      <c r="O71" s="705"/>
      <c r="P71" s="705"/>
      <c r="Q71" s="705"/>
      <c r="R71" s="705"/>
    </row>
    <row r="72" spans="1:18" s="766" customFormat="1" x14ac:dyDescent="0.2">
      <c r="A72" s="705"/>
      <c r="B72" s="705"/>
      <c r="C72" s="705"/>
      <c r="D72" s="705"/>
      <c r="E72" s="705"/>
      <c r="F72" s="705"/>
      <c r="G72" s="705"/>
      <c r="H72" s="705"/>
      <c r="I72" s="705"/>
      <c r="J72" s="705"/>
      <c r="K72" s="705"/>
      <c r="L72" s="705"/>
      <c r="M72" s="705"/>
      <c r="N72" s="705"/>
      <c r="O72" s="705"/>
      <c r="P72" s="705"/>
      <c r="Q72" s="705"/>
      <c r="R72" s="705"/>
    </row>
    <row r="73" spans="1:18" s="766" customFormat="1" x14ac:dyDescent="0.2">
      <c r="A73" s="705"/>
      <c r="B73" s="705"/>
      <c r="C73" s="705"/>
      <c r="D73" s="705"/>
      <c r="E73" s="705"/>
      <c r="F73" s="705"/>
      <c r="G73" s="705"/>
      <c r="H73" s="705"/>
      <c r="I73" s="705"/>
      <c r="J73" s="705"/>
      <c r="K73" s="705"/>
      <c r="L73" s="705"/>
      <c r="M73" s="705"/>
      <c r="N73" s="705"/>
      <c r="O73" s="705"/>
      <c r="P73" s="705"/>
      <c r="Q73" s="705"/>
      <c r="R73" s="705"/>
    </row>
    <row r="74" spans="1:18" s="766" customFormat="1" x14ac:dyDescent="0.2">
      <c r="A74" s="705"/>
      <c r="B74" s="705"/>
      <c r="C74" s="705"/>
      <c r="D74" s="705"/>
      <c r="E74" s="705"/>
      <c r="F74" s="705"/>
      <c r="G74" s="705"/>
      <c r="H74" s="705"/>
      <c r="I74" s="705"/>
      <c r="J74" s="705"/>
      <c r="K74" s="705"/>
      <c r="L74" s="705"/>
      <c r="M74" s="705"/>
      <c r="N74" s="705"/>
      <c r="O74" s="705"/>
      <c r="P74" s="705"/>
      <c r="Q74" s="705"/>
      <c r="R74" s="705"/>
    </row>
    <row r="75" spans="1:18" s="766" customFormat="1" x14ac:dyDescent="0.2">
      <c r="A75" s="705"/>
      <c r="B75" s="705"/>
      <c r="C75" s="705"/>
      <c r="D75" s="705"/>
      <c r="E75" s="705"/>
      <c r="F75" s="705"/>
      <c r="G75" s="705"/>
      <c r="H75" s="705"/>
      <c r="I75" s="705"/>
      <c r="J75" s="705"/>
      <c r="K75" s="705"/>
      <c r="L75" s="705"/>
      <c r="M75" s="705"/>
      <c r="N75" s="705"/>
      <c r="O75" s="705"/>
      <c r="P75" s="705"/>
      <c r="Q75" s="705"/>
      <c r="R75" s="705"/>
    </row>
    <row r="76" spans="1:18" s="766" customFormat="1" x14ac:dyDescent="0.2">
      <c r="A76" s="705"/>
      <c r="B76" s="705"/>
      <c r="C76" s="705"/>
      <c r="D76" s="705"/>
      <c r="E76" s="705"/>
      <c r="F76" s="705"/>
      <c r="G76" s="705"/>
      <c r="H76" s="705"/>
      <c r="I76" s="705"/>
      <c r="J76" s="705"/>
      <c r="K76" s="705"/>
      <c r="L76" s="705"/>
      <c r="M76" s="705"/>
      <c r="N76" s="705"/>
      <c r="O76" s="705"/>
      <c r="P76" s="705"/>
      <c r="Q76" s="705"/>
      <c r="R76" s="705"/>
    </row>
    <row r="77" spans="1:18" s="766" customFormat="1" x14ac:dyDescent="0.2">
      <c r="A77" s="705"/>
      <c r="B77" s="705"/>
      <c r="C77" s="705"/>
      <c r="D77" s="705"/>
      <c r="E77" s="705"/>
      <c r="F77" s="705"/>
      <c r="G77" s="705"/>
      <c r="H77" s="705"/>
      <c r="I77" s="705"/>
      <c r="J77" s="705"/>
      <c r="K77" s="705"/>
      <c r="L77" s="705"/>
      <c r="M77" s="705"/>
      <c r="N77" s="705"/>
      <c r="O77" s="705"/>
      <c r="P77" s="705"/>
      <c r="Q77" s="705"/>
      <c r="R77" s="705"/>
    </row>
    <row r="78" spans="1:18" s="766" customFormat="1" x14ac:dyDescent="0.2">
      <c r="A78" s="705"/>
      <c r="B78" s="705"/>
      <c r="C78" s="705"/>
      <c r="D78" s="705"/>
      <c r="E78" s="705"/>
      <c r="F78" s="705"/>
      <c r="G78" s="705"/>
      <c r="H78" s="705"/>
      <c r="I78" s="705"/>
      <c r="J78" s="705"/>
      <c r="K78" s="705"/>
      <c r="L78" s="705"/>
      <c r="M78" s="705"/>
      <c r="N78" s="705"/>
      <c r="O78" s="705"/>
      <c r="P78" s="705"/>
      <c r="Q78" s="705"/>
      <c r="R78" s="705"/>
    </row>
    <row r="79" spans="1:18" x14ac:dyDescent="0.2">
      <c r="A79" s="705"/>
      <c r="B79" s="705"/>
      <c r="C79" s="705"/>
      <c r="D79" s="705"/>
      <c r="E79" s="705"/>
      <c r="F79" s="705"/>
      <c r="G79" s="705"/>
      <c r="H79" s="705"/>
      <c r="I79" s="705"/>
      <c r="J79" s="705"/>
      <c r="K79" s="705"/>
      <c r="L79" s="705"/>
      <c r="M79" s="705"/>
      <c r="N79" s="705"/>
      <c r="O79" s="705"/>
      <c r="P79" s="705"/>
      <c r="Q79" s="705"/>
      <c r="R79" s="705"/>
    </row>
    <row r="80" spans="1:18" x14ac:dyDescent="0.2">
      <c r="A80" s="705"/>
      <c r="B80" s="705"/>
      <c r="C80" s="705"/>
      <c r="D80" s="705"/>
      <c r="E80" s="705"/>
      <c r="F80" s="705"/>
      <c r="G80" s="705"/>
      <c r="H80" s="705"/>
      <c r="I80" s="705"/>
      <c r="J80" s="705"/>
      <c r="K80" s="705"/>
      <c r="L80" s="705"/>
      <c r="M80" s="705"/>
      <c r="N80" s="705"/>
      <c r="O80" s="705"/>
      <c r="P80" s="705"/>
      <c r="Q80" s="705"/>
      <c r="R80" s="705"/>
    </row>
    <row r="81" spans="1:18" x14ac:dyDescent="0.2">
      <c r="A81" s="705"/>
      <c r="B81" s="705"/>
      <c r="C81" s="705"/>
      <c r="D81" s="705"/>
      <c r="E81" s="705"/>
      <c r="F81" s="705"/>
      <c r="G81" s="705"/>
      <c r="H81" s="705"/>
      <c r="I81" s="705"/>
      <c r="J81" s="705"/>
      <c r="K81" s="705"/>
      <c r="L81" s="705"/>
      <c r="M81" s="705"/>
      <c r="N81" s="705"/>
      <c r="O81" s="705"/>
      <c r="P81" s="705"/>
      <c r="Q81" s="705"/>
      <c r="R81" s="705"/>
    </row>
    <row r="82" spans="1:18" x14ac:dyDescent="0.2">
      <c r="A82" s="705"/>
      <c r="B82" s="705"/>
      <c r="C82" s="705"/>
      <c r="D82" s="705"/>
      <c r="E82" s="705"/>
      <c r="F82" s="705"/>
      <c r="G82" s="705"/>
      <c r="H82" s="705"/>
      <c r="I82" s="705"/>
      <c r="J82" s="705"/>
      <c r="K82" s="705"/>
      <c r="L82" s="705"/>
      <c r="M82" s="705"/>
      <c r="N82" s="705"/>
      <c r="O82" s="705"/>
      <c r="P82" s="705"/>
      <c r="Q82" s="705"/>
      <c r="R82" s="705"/>
    </row>
    <row r="83" spans="1:18" x14ac:dyDescent="0.2">
      <c r="A83" s="705"/>
      <c r="B83" s="705"/>
      <c r="C83" s="705"/>
      <c r="D83" s="705"/>
      <c r="E83" s="705"/>
      <c r="F83" s="705"/>
      <c r="G83" s="705"/>
      <c r="H83" s="705"/>
      <c r="I83" s="705"/>
      <c r="J83" s="705"/>
      <c r="K83" s="705"/>
      <c r="L83" s="705"/>
      <c r="M83" s="705"/>
      <c r="N83" s="705"/>
      <c r="O83" s="705"/>
      <c r="P83" s="705"/>
      <c r="Q83" s="705"/>
      <c r="R83" s="705"/>
    </row>
    <row r="84" spans="1:18" x14ac:dyDescent="0.2">
      <c r="A84" s="705"/>
      <c r="B84" s="705"/>
      <c r="C84" s="705"/>
      <c r="D84" s="705"/>
      <c r="E84" s="705"/>
      <c r="F84" s="705"/>
      <c r="G84" s="705"/>
      <c r="H84" s="705"/>
      <c r="I84" s="705"/>
      <c r="J84" s="705"/>
      <c r="K84" s="705"/>
      <c r="L84" s="705"/>
      <c r="M84" s="705"/>
      <c r="N84" s="705"/>
      <c r="O84" s="705"/>
      <c r="P84" s="705"/>
      <c r="Q84" s="705"/>
      <c r="R84" s="705"/>
    </row>
    <row r="85" spans="1:18" x14ac:dyDescent="0.2">
      <c r="A85" s="705"/>
      <c r="B85" s="705"/>
      <c r="C85" s="705"/>
      <c r="D85" s="705"/>
      <c r="E85" s="705"/>
      <c r="F85" s="705"/>
      <c r="G85" s="705"/>
      <c r="H85" s="705"/>
      <c r="I85" s="705"/>
      <c r="J85" s="705"/>
      <c r="K85" s="705"/>
      <c r="L85" s="705"/>
      <c r="M85" s="705"/>
      <c r="N85" s="705"/>
      <c r="O85" s="705"/>
      <c r="P85" s="705"/>
      <c r="Q85" s="705"/>
      <c r="R85" s="705"/>
    </row>
    <row r="86" spans="1:18" x14ac:dyDescent="0.2">
      <c r="A86" s="705"/>
      <c r="B86" s="705"/>
      <c r="C86" s="705"/>
      <c r="D86" s="705"/>
      <c r="E86" s="705"/>
      <c r="F86" s="705"/>
      <c r="G86" s="705"/>
      <c r="H86" s="705"/>
      <c r="I86" s="705"/>
      <c r="J86" s="705"/>
      <c r="K86" s="705"/>
      <c r="L86" s="705"/>
      <c r="M86" s="705"/>
      <c r="N86" s="705"/>
      <c r="O86" s="705"/>
      <c r="P86" s="705"/>
      <c r="Q86" s="705"/>
      <c r="R86" s="705"/>
    </row>
    <row r="87" spans="1:18" x14ac:dyDescent="0.2">
      <c r="A87" s="705"/>
      <c r="B87" s="705"/>
      <c r="C87" s="705"/>
      <c r="D87" s="705"/>
      <c r="E87" s="705"/>
      <c r="F87" s="705"/>
      <c r="G87" s="705"/>
      <c r="H87" s="705"/>
      <c r="I87" s="705"/>
      <c r="J87" s="705"/>
      <c r="K87" s="705"/>
      <c r="L87" s="705"/>
      <c r="M87" s="705"/>
      <c r="N87" s="705"/>
      <c r="O87" s="705"/>
      <c r="P87" s="705"/>
      <c r="Q87" s="705"/>
      <c r="R87" s="705"/>
    </row>
    <row r="88" spans="1:18" x14ac:dyDescent="0.2">
      <c r="A88" s="705"/>
      <c r="B88" s="705"/>
      <c r="C88" s="705"/>
      <c r="D88" s="705"/>
      <c r="E88" s="705"/>
      <c r="F88" s="705"/>
      <c r="G88" s="705"/>
      <c r="H88" s="705"/>
      <c r="I88" s="705"/>
      <c r="J88" s="705"/>
      <c r="K88" s="705"/>
      <c r="L88" s="705"/>
      <c r="M88" s="705"/>
      <c r="N88" s="705"/>
      <c r="O88" s="705"/>
      <c r="P88" s="705"/>
      <c r="Q88" s="705"/>
      <c r="R88" s="705"/>
    </row>
    <row r="89" spans="1:18" x14ac:dyDescent="0.2">
      <c r="A89" s="705"/>
      <c r="B89" s="705"/>
      <c r="C89" s="705"/>
      <c r="D89" s="705"/>
      <c r="E89" s="705"/>
      <c r="F89" s="705"/>
      <c r="G89" s="705"/>
      <c r="H89" s="705"/>
      <c r="I89" s="705"/>
      <c r="J89" s="705"/>
      <c r="K89" s="705"/>
      <c r="L89" s="705"/>
      <c r="M89" s="705"/>
      <c r="N89" s="705"/>
      <c r="O89" s="705"/>
      <c r="P89" s="705"/>
      <c r="Q89" s="705"/>
      <c r="R89" s="705"/>
    </row>
    <row r="90" spans="1:18" x14ac:dyDescent="0.2">
      <c r="A90" s="705"/>
      <c r="B90" s="705"/>
      <c r="C90" s="705"/>
      <c r="D90" s="705"/>
      <c r="E90" s="705"/>
      <c r="F90" s="705"/>
      <c r="G90" s="705"/>
      <c r="H90" s="705"/>
      <c r="I90" s="705"/>
      <c r="J90" s="705"/>
      <c r="K90" s="705"/>
      <c r="L90" s="705"/>
      <c r="M90" s="705"/>
      <c r="N90" s="705"/>
      <c r="O90" s="705"/>
      <c r="P90" s="705"/>
      <c r="Q90" s="705"/>
      <c r="R90" s="705"/>
    </row>
    <row r="91" spans="1:18" x14ac:dyDescent="0.2">
      <c r="A91" s="705"/>
      <c r="B91" s="705"/>
      <c r="C91" s="705"/>
      <c r="D91" s="705"/>
      <c r="E91" s="705"/>
      <c r="F91" s="705"/>
      <c r="G91" s="705"/>
      <c r="H91" s="705"/>
      <c r="I91" s="705"/>
      <c r="J91" s="705"/>
      <c r="K91" s="705"/>
      <c r="L91" s="705"/>
      <c r="M91" s="705"/>
      <c r="N91" s="705"/>
      <c r="O91" s="705"/>
      <c r="P91" s="705"/>
      <c r="Q91" s="705"/>
      <c r="R91" s="705"/>
    </row>
    <row r="92" spans="1:18" x14ac:dyDescent="0.2">
      <c r="A92" s="705"/>
      <c r="B92" s="705"/>
      <c r="C92" s="705"/>
      <c r="D92" s="705"/>
      <c r="E92" s="705"/>
      <c r="F92" s="705"/>
      <c r="G92" s="705"/>
      <c r="H92" s="705"/>
      <c r="I92" s="705"/>
      <c r="J92" s="705"/>
      <c r="K92" s="705"/>
      <c r="L92" s="705"/>
      <c r="M92" s="705"/>
      <c r="N92" s="705"/>
      <c r="O92" s="705"/>
      <c r="P92" s="705"/>
      <c r="Q92" s="705"/>
      <c r="R92" s="705"/>
    </row>
    <row r="93" spans="1:18" x14ac:dyDescent="0.2">
      <c r="A93" s="705"/>
      <c r="B93" s="705"/>
      <c r="C93" s="705"/>
      <c r="D93" s="705"/>
      <c r="E93" s="705"/>
      <c r="F93" s="705"/>
      <c r="G93" s="705"/>
      <c r="H93" s="705"/>
      <c r="I93" s="705"/>
      <c r="J93" s="705"/>
      <c r="K93" s="705"/>
      <c r="L93" s="705"/>
      <c r="M93" s="705"/>
      <c r="N93" s="705"/>
      <c r="O93" s="705"/>
      <c r="P93" s="705"/>
      <c r="Q93" s="705"/>
      <c r="R93" s="705"/>
    </row>
    <row r="94" spans="1:18" x14ac:dyDescent="0.2">
      <c r="A94" s="705"/>
      <c r="B94" s="705"/>
      <c r="C94" s="705"/>
      <c r="D94" s="705"/>
      <c r="E94" s="705"/>
      <c r="F94" s="705"/>
      <c r="G94" s="705"/>
      <c r="H94" s="705"/>
      <c r="I94" s="705"/>
      <c r="J94" s="705"/>
      <c r="K94" s="705"/>
      <c r="L94" s="705"/>
      <c r="M94" s="705"/>
      <c r="N94" s="705"/>
      <c r="O94" s="705"/>
      <c r="P94" s="705"/>
      <c r="Q94" s="705"/>
      <c r="R94" s="705"/>
    </row>
    <row r="95" spans="1:18" x14ac:dyDescent="0.2">
      <c r="A95" s="705"/>
      <c r="B95" s="705"/>
      <c r="C95" s="705"/>
      <c r="D95" s="705"/>
      <c r="E95" s="705"/>
      <c r="F95" s="705"/>
      <c r="G95" s="705"/>
      <c r="H95" s="705"/>
      <c r="I95" s="705"/>
      <c r="J95" s="705"/>
      <c r="K95" s="705"/>
      <c r="L95" s="705"/>
      <c r="M95" s="705"/>
      <c r="N95" s="705"/>
      <c r="O95" s="705"/>
      <c r="P95" s="705"/>
      <c r="Q95" s="705"/>
      <c r="R95" s="705"/>
    </row>
    <row r="96" spans="1:18" x14ac:dyDescent="0.2">
      <c r="A96" s="705"/>
      <c r="B96" s="705"/>
      <c r="C96" s="705"/>
      <c r="D96" s="705"/>
      <c r="E96" s="705"/>
      <c r="F96" s="705"/>
      <c r="G96" s="705"/>
      <c r="H96" s="705"/>
      <c r="I96" s="705"/>
      <c r="J96" s="705"/>
      <c r="K96" s="705"/>
      <c r="L96" s="705"/>
      <c r="M96" s="705"/>
      <c r="N96" s="705"/>
      <c r="O96" s="705"/>
      <c r="P96" s="705"/>
      <c r="Q96" s="705"/>
      <c r="R96" s="705"/>
    </row>
    <row r="97" spans="1:18" x14ac:dyDescent="0.2">
      <c r="A97" s="705"/>
      <c r="B97" s="705"/>
      <c r="C97" s="705"/>
      <c r="D97" s="705"/>
      <c r="E97" s="705"/>
      <c r="F97" s="705"/>
      <c r="G97" s="705"/>
      <c r="H97" s="705"/>
      <c r="I97" s="705"/>
      <c r="J97" s="705"/>
      <c r="K97" s="705"/>
      <c r="L97" s="705"/>
      <c r="M97" s="705"/>
      <c r="N97" s="705"/>
      <c r="O97" s="705"/>
      <c r="P97" s="705"/>
      <c r="Q97" s="705"/>
      <c r="R97" s="705"/>
    </row>
    <row r="98" spans="1:18" x14ac:dyDescent="0.2">
      <c r="A98" s="705"/>
      <c r="B98" s="705"/>
      <c r="C98" s="705"/>
      <c r="D98" s="705"/>
      <c r="E98" s="705"/>
      <c r="F98" s="705"/>
      <c r="G98" s="705"/>
      <c r="H98" s="705"/>
      <c r="I98" s="705"/>
      <c r="J98" s="705"/>
      <c r="K98" s="705"/>
      <c r="L98" s="705"/>
      <c r="M98" s="705"/>
      <c r="N98" s="705"/>
      <c r="O98" s="705"/>
      <c r="P98" s="705"/>
      <c r="Q98" s="705"/>
      <c r="R98" s="705"/>
    </row>
    <row r="99" spans="1:18" x14ac:dyDescent="0.2">
      <c r="A99" s="705"/>
      <c r="B99" s="705"/>
      <c r="C99" s="705"/>
      <c r="D99" s="705"/>
      <c r="E99" s="705"/>
      <c r="F99" s="705"/>
      <c r="G99" s="705"/>
      <c r="H99" s="705"/>
      <c r="I99" s="705"/>
      <c r="J99" s="705"/>
      <c r="K99" s="705"/>
      <c r="L99" s="705"/>
      <c r="M99" s="705"/>
      <c r="N99" s="705"/>
      <c r="O99" s="705"/>
      <c r="P99" s="705"/>
      <c r="Q99" s="705"/>
      <c r="R99" s="705"/>
    </row>
    <row r="100" spans="1:18" x14ac:dyDescent="0.2">
      <c r="A100" s="705"/>
      <c r="B100" s="705"/>
      <c r="C100" s="705"/>
      <c r="D100" s="705"/>
      <c r="E100" s="705"/>
      <c r="F100" s="705"/>
      <c r="G100" s="705"/>
      <c r="H100" s="705"/>
      <c r="I100" s="705"/>
      <c r="J100" s="705"/>
      <c r="K100" s="705"/>
      <c r="L100" s="705"/>
      <c r="M100" s="705"/>
      <c r="N100" s="705"/>
      <c r="O100" s="705"/>
      <c r="P100" s="705"/>
      <c r="Q100" s="705"/>
      <c r="R100" s="705"/>
    </row>
    <row r="101" spans="1:18" x14ac:dyDescent="0.2">
      <c r="A101" s="705"/>
      <c r="B101" s="705"/>
      <c r="C101" s="705"/>
      <c r="D101" s="705"/>
      <c r="E101" s="705"/>
      <c r="F101" s="705"/>
      <c r="G101" s="705"/>
      <c r="H101" s="705"/>
      <c r="I101" s="705"/>
      <c r="J101" s="705"/>
      <c r="K101" s="705"/>
      <c r="L101" s="705"/>
      <c r="M101" s="705"/>
      <c r="N101" s="705"/>
      <c r="O101" s="705"/>
      <c r="P101" s="705"/>
      <c r="Q101" s="705"/>
      <c r="R101" s="705"/>
    </row>
    <row r="102" spans="1:18" x14ac:dyDescent="0.2">
      <c r="A102" s="705"/>
      <c r="B102" s="705"/>
      <c r="C102" s="705"/>
      <c r="D102" s="705"/>
      <c r="E102" s="705"/>
      <c r="F102" s="705"/>
      <c r="G102" s="705"/>
      <c r="H102" s="705"/>
      <c r="I102" s="705"/>
      <c r="J102" s="705"/>
      <c r="K102" s="705"/>
      <c r="L102" s="705"/>
      <c r="M102" s="705"/>
      <c r="N102" s="705"/>
      <c r="O102" s="705"/>
      <c r="P102" s="705"/>
      <c r="Q102" s="705"/>
      <c r="R102" s="705"/>
    </row>
    <row r="103" spans="1:18" x14ac:dyDescent="0.2">
      <c r="A103" s="705"/>
      <c r="B103" s="705"/>
      <c r="C103" s="705"/>
      <c r="D103" s="705"/>
      <c r="E103" s="705"/>
      <c r="F103" s="705"/>
      <c r="G103" s="705"/>
      <c r="H103" s="705"/>
      <c r="I103" s="705"/>
      <c r="J103" s="705"/>
      <c r="K103" s="705"/>
      <c r="L103" s="705"/>
      <c r="M103" s="705"/>
      <c r="N103" s="705"/>
      <c r="O103" s="705"/>
      <c r="P103" s="705"/>
      <c r="Q103" s="705"/>
      <c r="R103" s="705"/>
    </row>
    <row r="104" spans="1:18" x14ac:dyDescent="0.2">
      <c r="A104" s="705"/>
      <c r="B104" s="705"/>
      <c r="C104" s="705"/>
      <c r="D104" s="705"/>
      <c r="E104" s="705"/>
      <c r="F104" s="705"/>
      <c r="G104" s="705"/>
      <c r="H104" s="705"/>
      <c r="I104" s="705"/>
      <c r="J104" s="705"/>
      <c r="K104" s="705"/>
      <c r="L104" s="705"/>
      <c r="M104" s="705"/>
      <c r="N104" s="705"/>
      <c r="O104" s="705"/>
      <c r="P104" s="705"/>
      <c r="Q104" s="705"/>
      <c r="R104" s="705"/>
    </row>
    <row r="105" spans="1:18" x14ac:dyDescent="0.2">
      <c r="A105" s="705"/>
      <c r="B105" s="705"/>
      <c r="C105" s="705"/>
      <c r="D105" s="705"/>
      <c r="E105" s="705"/>
      <c r="F105" s="705"/>
      <c r="G105" s="705"/>
      <c r="H105" s="705"/>
      <c r="I105" s="705"/>
      <c r="J105" s="705"/>
      <c r="K105" s="705"/>
      <c r="L105" s="705"/>
      <c r="M105" s="705"/>
      <c r="N105" s="705"/>
      <c r="O105" s="705"/>
      <c r="P105" s="705"/>
      <c r="Q105" s="705"/>
      <c r="R105" s="705"/>
    </row>
    <row r="106" spans="1:18" x14ac:dyDescent="0.2">
      <c r="A106" s="705"/>
      <c r="B106" s="705"/>
      <c r="C106" s="705"/>
      <c r="D106" s="705"/>
      <c r="E106" s="705"/>
      <c r="F106" s="705"/>
      <c r="G106" s="705"/>
      <c r="H106" s="705"/>
      <c r="I106" s="705"/>
      <c r="J106" s="705"/>
      <c r="K106" s="705"/>
      <c r="L106" s="705"/>
      <c r="M106" s="705"/>
      <c r="N106" s="705"/>
      <c r="O106" s="705"/>
      <c r="P106" s="705"/>
      <c r="Q106" s="705"/>
      <c r="R106" s="705"/>
    </row>
    <row r="107" spans="1:18" x14ac:dyDescent="0.2">
      <c r="A107" s="705"/>
      <c r="B107" s="705"/>
      <c r="C107" s="705"/>
      <c r="D107" s="705"/>
      <c r="E107" s="705"/>
      <c r="F107" s="705"/>
      <c r="G107" s="705"/>
      <c r="H107" s="705"/>
      <c r="I107" s="705"/>
      <c r="J107" s="705"/>
      <c r="K107" s="705"/>
      <c r="L107" s="705"/>
      <c r="M107" s="705"/>
      <c r="N107" s="705"/>
      <c r="O107" s="705"/>
      <c r="P107" s="705"/>
      <c r="Q107" s="705"/>
      <c r="R107" s="705"/>
    </row>
    <row r="108" spans="1:18" x14ac:dyDescent="0.2">
      <c r="A108" s="705"/>
      <c r="B108" s="705"/>
      <c r="C108" s="705"/>
      <c r="D108" s="705"/>
      <c r="E108" s="705"/>
      <c r="F108" s="705"/>
      <c r="G108" s="705"/>
      <c r="H108" s="705"/>
      <c r="I108" s="705"/>
      <c r="J108" s="705"/>
      <c r="K108" s="705"/>
      <c r="L108" s="705"/>
      <c r="M108" s="705"/>
      <c r="N108" s="705"/>
      <c r="O108" s="705"/>
      <c r="P108" s="705"/>
      <c r="Q108" s="705"/>
      <c r="R108" s="705"/>
    </row>
    <row r="109" spans="1:18" x14ac:dyDescent="0.2">
      <c r="A109" s="705"/>
      <c r="B109" s="705"/>
      <c r="C109" s="705"/>
      <c r="D109" s="705"/>
      <c r="E109" s="705"/>
      <c r="F109" s="705"/>
      <c r="G109" s="705"/>
      <c r="H109" s="705"/>
      <c r="I109" s="705"/>
      <c r="J109" s="705"/>
      <c r="K109" s="705"/>
      <c r="L109" s="705"/>
      <c r="M109" s="705"/>
      <c r="N109" s="705"/>
      <c r="O109" s="705"/>
      <c r="P109" s="705"/>
      <c r="Q109" s="705"/>
      <c r="R109" s="705"/>
    </row>
    <row r="110" spans="1:18" x14ac:dyDescent="0.2">
      <c r="A110" s="705"/>
      <c r="B110" s="705"/>
      <c r="C110" s="705"/>
      <c r="D110" s="705"/>
      <c r="E110" s="705"/>
      <c r="F110" s="705"/>
      <c r="G110" s="705"/>
      <c r="H110" s="705"/>
      <c r="I110" s="705"/>
      <c r="J110" s="705"/>
      <c r="K110" s="705"/>
      <c r="L110" s="705"/>
      <c r="M110" s="705"/>
      <c r="N110" s="705"/>
      <c r="O110" s="705"/>
      <c r="P110" s="705"/>
      <c r="Q110" s="705"/>
      <c r="R110" s="705"/>
    </row>
    <row r="111" spans="1:18" x14ac:dyDescent="0.2">
      <c r="A111" s="705"/>
      <c r="B111" s="705"/>
      <c r="C111" s="705"/>
      <c r="D111" s="705"/>
      <c r="E111" s="705"/>
      <c r="F111" s="705"/>
      <c r="G111" s="705"/>
      <c r="H111" s="705"/>
      <c r="I111" s="705"/>
      <c r="J111" s="705"/>
      <c r="K111" s="705"/>
      <c r="L111" s="705"/>
      <c r="M111" s="705"/>
      <c r="N111" s="705"/>
      <c r="O111" s="705"/>
      <c r="P111" s="705"/>
      <c r="Q111" s="705"/>
      <c r="R111" s="705"/>
    </row>
    <row r="112" spans="1:18" x14ac:dyDescent="0.2">
      <c r="A112" s="705"/>
      <c r="B112" s="705"/>
      <c r="C112" s="705"/>
      <c r="D112" s="705"/>
      <c r="E112" s="705"/>
      <c r="F112" s="705"/>
      <c r="G112" s="705"/>
      <c r="H112" s="705"/>
      <c r="I112" s="705"/>
      <c r="J112" s="705"/>
      <c r="K112" s="705"/>
      <c r="L112" s="705"/>
      <c r="M112" s="705"/>
      <c r="N112" s="705"/>
      <c r="O112" s="705"/>
      <c r="P112" s="705"/>
      <c r="Q112" s="705"/>
      <c r="R112" s="705"/>
    </row>
    <row r="113" spans="1:18" x14ac:dyDescent="0.2">
      <c r="A113" s="705"/>
      <c r="B113" s="705"/>
      <c r="C113" s="705"/>
      <c r="D113" s="705"/>
      <c r="E113" s="705"/>
      <c r="F113" s="705"/>
      <c r="G113" s="705"/>
      <c r="H113" s="705"/>
      <c r="I113" s="705"/>
      <c r="J113" s="705"/>
      <c r="K113" s="705"/>
      <c r="L113" s="705"/>
      <c r="M113" s="705"/>
      <c r="N113" s="705"/>
      <c r="O113" s="705"/>
      <c r="P113" s="705"/>
      <c r="Q113" s="705"/>
      <c r="R113" s="705"/>
    </row>
    <row r="114" spans="1:18" x14ac:dyDescent="0.2">
      <c r="A114" s="705"/>
      <c r="B114" s="705"/>
      <c r="C114" s="705"/>
      <c r="D114" s="705"/>
      <c r="E114" s="705"/>
      <c r="F114" s="705"/>
      <c r="G114" s="705"/>
      <c r="H114" s="705"/>
      <c r="I114" s="705"/>
      <c r="J114" s="705"/>
      <c r="K114" s="705"/>
      <c r="L114" s="705"/>
      <c r="M114" s="705"/>
      <c r="N114" s="705"/>
      <c r="O114" s="705"/>
      <c r="P114" s="705"/>
      <c r="Q114" s="705"/>
      <c r="R114" s="705"/>
    </row>
    <row r="115" spans="1:18" x14ac:dyDescent="0.2">
      <c r="A115" s="705"/>
      <c r="B115" s="705"/>
      <c r="C115" s="705"/>
      <c r="D115" s="705"/>
      <c r="E115" s="705"/>
      <c r="F115" s="705"/>
      <c r="G115" s="705"/>
      <c r="H115" s="705"/>
      <c r="I115" s="705"/>
      <c r="J115" s="705"/>
      <c r="K115" s="705"/>
      <c r="L115" s="705"/>
      <c r="M115" s="705"/>
      <c r="N115" s="705"/>
      <c r="O115" s="705"/>
      <c r="P115" s="705"/>
      <c r="Q115" s="705"/>
      <c r="R115" s="705"/>
    </row>
    <row r="116" spans="1:18" x14ac:dyDescent="0.2">
      <c r="A116" s="705"/>
      <c r="B116" s="705"/>
      <c r="C116" s="705"/>
      <c r="D116" s="705"/>
      <c r="E116" s="705"/>
      <c r="F116" s="705"/>
      <c r="G116" s="705"/>
      <c r="H116" s="705"/>
      <c r="I116" s="705"/>
      <c r="J116" s="705"/>
      <c r="K116" s="705"/>
      <c r="L116" s="705"/>
      <c r="M116" s="705"/>
      <c r="N116" s="705"/>
      <c r="O116" s="705"/>
      <c r="P116" s="705"/>
      <c r="Q116" s="705"/>
      <c r="R116" s="705"/>
    </row>
    <row r="117" spans="1:18" x14ac:dyDescent="0.2">
      <c r="A117" s="705"/>
      <c r="B117" s="705"/>
      <c r="C117" s="705"/>
      <c r="D117" s="705"/>
      <c r="E117" s="705"/>
      <c r="F117" s="705"/>
      <c r="G117" s="705"/>
      <c r="H117" s="705"/>
      <c r="I117" s="705"/>
      <c r="J117" s="705"/>
      <c r="K117" s="705"/>
      <c r="L117" s="705"/>
      <c r="M117" s="705"/>
      <c r="N117" s="705"/>
      <c r="O117" s="705"/>
      <c r="P117" s="705"/>
      <c r="Q117" s="705"/>
      <c r="R117" s="705"/>
    </row>
    <row r="118" spans="1:18" x14ac:dyDescent="0.2">
      <c r="A118" s="705"/>
      <c r="B118" s="705"/>
      <c r="C118" s="705"/>
      <c r="D118" s="705"/>
      <c r="E118" s="705"/>
      <c r="F118" s="705"/>
      <c r="G118" s="705"/>
      <c r="H118" s="705"/>
      <c r="I118" s="705"/>
      <c r="J118" s="705"/>
      <c r="K118" s="705"/>
      <c r="L118" s="705"/>
      <c r="M118" s="705"/>
      <c r="N118" s="705"/>
      <c r="O118" s="705"/>
      <c r="P118" s="705"/>
      <c r="Q118" s="705"/>
      <c r="R118" s="705"/>
    </row>
    <row r="119" spans="1:18" x14ac:dyDescent="0.2">
      <c r="A119" s="705"/>
      <c r="B119" s="705"/>
      <c r="C119" s="705"/>
      <c r="D119" s="705"/>
      <c r="E119" s="705"/>
      <c r="F119" s="705"/>
      <c r="G119" s="705"/>
      <c r="H119" s="705"/>
      <c r="I119" s="705"/>
      <c r="J119" s="705"/>
      <c r="K119" s="705"/>
      <c r="L119" s="705"/>
      <c r="M119" s="705"/>
      <c r="N119" s="705"/>
      <c r="O119" s="705"/>
      <c r="P119" s="705"/>
      <c r="Q119" s="705"/>
      <c r="R119" s="705"/>
    </row>
    <row r="120" spans="1:18" x14ac:dyDescent="0.2">
      <c r="A120" s="705"/>
      <c r="B120" s="705"/>
      <c r="C120" s="705"/>
      <c r="D120" s="705"/>
      <c r="E120" s="705"/>
      <c r="F120" s="705"/>
      <c r="G120" s="705"/>
      <c r="H120" s="705"/>
      <c r="I120" s="705"/>
      <c r="J120" s="705"/>
      <c r="K120" s="705"/>
      <c r="L120" s="705"/>
      <c r="M120" s="705"/>
      <c r="N120" s="705"/>
      <c r="O120" s="705"/>
      <c r="P120" s="705"/>
      <c r="Q120" s="705"/>
      <c r="R120" s="705"/>
    </row>
    <row r="121" spans="1:18" x14ac:dyDescent="0.2">
      <c r="A121" s="705"/>
      <c r="B121" s="705"/>
      <c r="C121" s="705"/>
      <c r="D121" s="705"/>
      <c r="E121" s="705"/>
      <c r="F121" s="705"/>
      <c r="G121" s="705"/>
      <c r="H121" s="705"/>
      <c r="I121" s="705"/>
      <c r="J121" s="705"/>
      <c r="K121" s="705"/>
      <c r="L121" s="705"/>
      <c r="M121" s="705"/>
      <c r="N121" s="705"/>
      <c r="O121" s="705"/>
      <c r="P121" s="705"/>
      <c r="Q121" s="705"/>
      <c r="R121" s="705"/>
    </row>
    <row r="122" spans="1:18" x14ac:dyDescent="0.2">
      <c r="A122" s="705"/>
      <c r="B122" s="705"/>
      <c r="C122" s="705"/>
      <c r="D122" s="705"/>
      <c r="E122" s="705"/>
      <c r="F122" s="705"/>
      <c r="G122" s="705"/>
      <c r="H122" s="705"/>
      <c r="I122" s="705"/>
      <c r="J122" s="705"/>
      <c r="K122" s="705"/>
      <c r="L122" s="705"/>
      <c r="M122" s="705"/>
      <c r="N122" s="705"/>
      <c r="O122" s="705"/>
      <c r="P122" s="705"/>
      <c r="Q122" s="705"/>
      <c r="R122" s="705"/>
    </row>
    <row r="123" spans="1:18" x14ac:dyDescent="0.2">
      <c r="A123" s="705"/>
      <c r="B123" s="705"/>
      <c r="C123" s="705"/>
      <c r="D123" s="705"/>
      <c r="E123" s="705"/>
      <c r="F123" s="705"/>
      <c r="G123" s="705"/>
      <c r="H123" s="705"/>
      <c r="I123" s="705"/>
      <c r="J123" s="705"/>
      <c r="K123" s="705"/>
      <c r="L123" s="705"/>
      <c r="M123" s="705"/>
      <c r="N123" s="705"/>
      <c r="O123" s="705"/>
      <c r="P123" s="705"/>
      <c r="Q123" s="705"/>
      <c r="R123" s="705"/>
    </row>
    <row r="124" spans="1:18" x14ac:dyDescent="0.2">
      <c r="A124" s="705"/>
      <c r="B124" s="705"/>
      <c r="C124" s="705"/>
      <c r="D124" s="705"/>
      <c r="E124" s="705"/>
      <c r="F124" s="705"/>
      <c r="G124" s="705"/>
      <c r="H124" s="705"/>
      <c r="I124" s="705"/>
      <c r="J124" s="705"/>
      <c r="K124" s="705"/>
      <c r="L124" s="705"/>
      <c r="M124" s="705"/>
      <c r="N124" s="705"/>
      <c r="O124" s="705"/>
      <c r="P124" s="705"/>
      <c r="Q124" s="705"/>
      <c r="R124" s="705"/>
    </row>
    <row r="125" spans="1:18" x14ac:dyDescent="0.2">
      <c r="A125" s="705"/>
      <c r="B125" s="705"/>
      <c r="C125" s="705"/>
      <c r="D125" s="705"/>
      <c r="E125" s="705"/>
      <c r="F125" s="705"/>
      <c r="G125" s="705"/>
      <c r="H125" s="705"/>
      <c r="I125" s="705"/>
      <c r="J125" s="705"/>
      <c r="K125" s="705"/>
      <c r="L125" s="705"/>
      <c r="M125" s="705"/>
      <c r="N125" s="705"/>
      <c r="O125" s="705"/>
      <c r="P125" s="705"/>
      <c r="Q125" s="705"/>
      <c r="R125" s="705"/>
    </row>
    <row r="126" spans="1:18" x14ac:dyDescent="0.2">
      <c r="A126" s="705"/>
      <c r="B126" s="705"/>
      <c r="C126" s="705"/>
      <c r="D126" s="705"/>
      <c r="E126" s="705"/>
      <c r="F126" s="705"/>
      <c r="G126" s="705"/>
      <c r="H126" s="705"/>
      <c r="I126" s="705"/>
      <c r="J126" s="705"/>
      <c r="K126" s="705"/>
      <c r="L126" s="705"/>
      <c r="M126" s="705"/>
      <c r="N126" s="705"/>
      <c r="O126" s="705"/>
      <c r="P126" s="705"/>
      <c r="Q126" s="705"/>
      <c r="R126" s="705"/>
    </row>
    <row r="127" spans="1:18" x14ac:dyDescent="0.2">
      <c r="A127" s="705"/>
      <c r="B127" s="705"/>
      <c r="C127" s="705"/>
      <c r="D127" s="705"/>
      <c r="E127" s="705"/>
      <c r="F127" s="705"/>
      <c r="G127" s="705"/>
      <c r="H127" s="705"/>
      <c r="I127" s="705"/>
      <c r="J127" s="705"/>
      <c r="K127" s="705"/>
      <c r="L127" s="705"/>
      <c r="M127" s="705"/>
      <c r="N127" s="705"/>
      <c r="O127" s="705"/>
      <c r="P127" s="705"/>
      <c r="Q127" s="705"/>
      <c r="R127" s="705"/>
    </row>
    <row r="128" spans="1:18" x14ac:dyDescent="0.2">
      <c r="A128" s="705"/>
      <c r="B128" s="705"/>
      <c r="C128" s="705"/>
      <c r="D128" s="705"/>
      <c r="E128" s="705"/>
      <c r="F128" s="705"/>
      <c r="G128" s="705"/>
      <c r="H128" s="705"/>
      <c r="I128" s="705"/>
      <c r="J128" s="705"/>
      <c r="K128" s="705"/>
      <c r="L128" s="705"/>
      <c r="M128" s="705"/>
      <c r="N128" s="705"/>
      <c r="O128" s="705"/>
      <c r="P128" s="705"/>
      <c r="Q128" s="705"/>
      <c r="R128" s="705"/>
    </row>
    <row r="129" spans="1:18" x14ac:dyDescent="0.2">
      <c r="A129" s="705"/>
      <c r="B129" s="705"/>
      <c r="C129" s="705"/>
      <c r="D129" s="705"/>
      <c r="E129" s="705"/>
      <c r="F129" s="705"/>
      <c r="G129" s="705"/>
      <c r="H129" s="705"/>
      <c r="I129" s="705"/>
      <c r="J129" s="705"/>
      <c r="K129" s="705"/>
      <c r="L129" s="705"/>
      <c r="M129" s="705"/>
      <c r="N129" s="705"/>
      <c r="O129" s="705"/>
      <c r="P129" s="705"/>
      <c r="Q129" s="705"/>
      <c r="R129" s="705"/>
    </row>
    <row r="130" spans="1:18" x14ac:dyDescent="0.2">
      <c r="A130" s="705"/>
      <c r="B130" s="705"/>
      <c r="C130" s="705"/>
      <c r="D130" s="705"/>
      <c r="E130" s="705"/>
      <c r="F130" s="705"/>
      <c r="G130" s="705"/>
      <c r="H130" s="705"/>
      <c r="I130" s="705"/>
      <c r="J130" s="705"/>
      <c r="K130" s="705"/>
      <c r="L130" s="705"/>
      <c r="M130" s="705"/>
      <c r="N130" s="705"/>
      <c r="O130" s="705"/>
      <c r="P130" s="705"/>
      <c r="Q130" s="705"/>
      <c r="R130" s="705"/>
    </row>
    <row r="131" spans="1:18" x14ac:dyDescent="0.2">
      <c r="A131" s="705"/>
      <c r="B131" s="705"/>
      <c r="C131" s="705"/>
      <c r="D131" s="705"/>
      <c r="E131" s="705"/>
      <c r="F131" s="705"/>
      <c r="G131" s="705"/>
      <c r="H131" s="705"/>
      <c r="I131" s="705"/>
      <c r="J131" s="705"/>
      <c r="K131" s="705"/>
      <c r="L131" s="705"/>
      <c r="M131" s="705"/>
      <c r="N131" s="705"/>
      <c r="O131" s="705"/>
      <c r="P131" s="705"/>
      <c r="Q131" s="705"/>
      <c r="R131" s="705"/>
    </row>
    <row r="132" spans="1:18" x14ac:dyDescent="0.2">
      <c r="A132" s="705"/>
      <c r="B132" s="705"/>
      <c r="C132" s="705"/>
      <c r="D132" s="705"/>
      <c r="E132" s="705"/>
      <c r="F132" s="705"/>
      <c r="G132" s="705"/>
      <c r="H132" s="705"/>
      <c r="I132" s="705"/>
      <c r="J132" s="705"/>
      <c r="K132" s="705"/>
      <c r="L132" s="705"/>
      <c r="M132" s="705"/>
      <c r="N132" s="705"/>
      <c r="O132" s="705"/>
      <c r="P132" s="705"/>
      <c r="Q132" s="705"/>
      <c r="R132" s="705"/>
    </row>
    <row r="133" spans="1:18" x14ac:dyDescent="0.2">
      <c r="A133" s="705"/>
      <c r="B133" s="705"/>
      <c r="C133" s="705"/>
      <c r="D133" s="705"/>
      <c r="E133" s="705"/>
      <c r="F133" s="705"/>
      <c r="G133" s="705"/>
      <c r="H133" s="705"/>
      <c r="I133" s="705"/>
      <c r="J133" s="705"/>
      <c r="K133" s="705"/>
      <c r="L133" s="705"/>
      <c r="M133" s="705"/>
      <c r="N133" s="705"/>
      <c r="O133" s="705"/>
      <c r="P133" s="705"/>
      <c r="Q133" s="705"/>
      <c r="R133" s="705"/>
    </row>
    <row r="134" spans="1:18" x14ac:dyDescent="0.2">
      <c r="A134" s="705"/>
      <c r="B134" s="705"/>
      <c r="C134" s="705"/>
      <c r="D134" s="705"/>
      <c r="E134" s="705"/>
      <c r="F134" s="705"/>
      <c r="G134" s="705"/>
      <c r="H134" s="705"/>
      <c r="I134" s="705"/>
      <c r="J134" s="705"/>
      <c r="K134" s="705"/>
      <c r="L134" s="705"/>
      <c r="M134" s="705"/>
      <c r="N134" s="705"/>
      <c r="O134" s="705"/>
      <c r="P134" s="705"/>
      <c r="Q134" s="705"/>
      <c r="R134" s="705"/>
    </row>
    <row r="135" spans="1:18" x14ac:dyDescent="0.2">
      <c r="A135" s="705"/>
      <c r="B135" s="705"/>
      <c r="C135" s="705"/>
      <c r="D135" s="705"/>
      <c r="E135" s="705"/>
      <c r="F135" s="705"/>
      <c r="G135" s="705"/>
      <c r="H135" s="705"/>
      <c r="I135" s="705"/>
      <c r="J135" s="705"/>
      <c r="K135" s="705"/>
      <c r="L135" s="705"/>
      <c r="M135" s="705"/>
      <c r="N135" s="705"/>
      <c r="O135" s="705"/>
      <c r="P135" s="705"/>
      <c r="Q135" s="705"/>
      <c r="R135" s="705"/>
    </row>
    <row r="136" spans="1:18" x14ac:dyDescent="0.2">
      <c r="A136" s="705"/>
      <c r="B136" s="705"/>
      <c r="C136" s="705"/>
      <c r="D136" s="705"/>
      <c r="E136" s="705"/>
      <c r="F136" s="705"/>
      <c r="G136" s="705"/>
      <c r="H136" s="705"/>
      <c r="I136" s="705"/>
      <c r="J136" s="705"/>
      <c r="K136" s="705"/>
      <c r="L136" s="705"/>
      <c r="M136" s="705"/>
      <c r="N136" s="705"/>
      <c r="O136" s="705"/>
      <c r="P136" s="705"/>
      <c r="Q136" s="705"/>
      <c r="R136" s="705"/>
    </row>
    <row r="137" spans="1:18" x14ac:dyDescent="0.2">
      <c r="A137" s="705"/>
      <c r="B137" s="705"/>
      <c r="C137" s="705"/>
      <c r="D137" s="705"/>
      <c r="E137" s="705"/>
      <c r="F137" s="705"/>
      <c r="G137" s="705"/>
      <c r="H137" s="705"/>
      <c r="I137" s="705"/>
      <c r="J137" s="705"/>
      <c r="K137" s="705"/>
      <c r="L137" s="705"/>
      <c r="M137" s="705"/>
      <c r="N137" s="705"/>
      <c r="O137" s="705"/>
      <c r="P137" s="705"/>
      <c r="Q137" s="705"/>
      <c r="R137" s="705"/>
    </row>
    <row r="138" spans="1:18" x14ac:dyDescent="0.2">
      <c r="A138" s="705"/>
      <c r="B138" s="705"/>
      <c r="C138" s="705"/>
      <c r="D138" s="705"/>
      <c r="E138" s="705"/>
      <c r="F138" s="705"/>
      <c r="G138" s="705"/>
      <c r="H138" s="705"/>
      <c r="I138" s="705"/>
      <c r="J138" s="705"/>
      <c r="K138" s="705"/>
      <c r="L138" s="705"/>
      <c r="M138" s="705"/>
      <c r="N138" s="705"/>
      <c r="O138" s="705"/>
      <c r="P138" s="705"/>
      <c r="Q138" s="705"/>
      <c r="R138" s="705"/>
    </row>
    <row r="139" spans="1:18" x14ac:dyDescent="0.2">
      <c r="A139" s="705"/>
      <c r="B139" s="705"/>
      <c r="C139" s="705"/>
      <c r="D139" s="705"/>
      <c r="E139" s="705"/>
      <c r="F139" s="705"/>
      <c r="G139" s="705"/>
      <c r="H139" s="705"/>
      <c r="I139" s="705"/>
      <c r="J139" s="705"/>
      <c r="K139" s="705"/>
      <c r="L139" s="705"/>
      <c r="M139" s="705"/>
      <c r="N139" s="705"/>
      <c r="O139" s="705"/>
      <c r="P139" s="705"/>
      <c r="Q139" s="705"/>
      <c r="R139" s="705"/>
    </row>
    <row r="140" spans="1:18" x14ac:dyDescent="0.2">
      <c r="A140" s="705"/>
      <c r="B140" s="705"/>
      <c r="C140" s="705"/>
      <c r="D140" s="705"/>
      <c r="E140" s="705"/>
      <c r="F140" s="705"/>
      <c r="G140" s="705"/>
      <c r="H140" s="705"/>
      <c r="I140" s="705"/>
      <c r="J140" s="705"/>
      <c r="K140" s="705"/>
      <c r="L140" s="705"/>
      <c r="M140" s="705"/>
      <c r="N140" s="705"/>
      <c r="O140" s="705"/>
      <c r="P140" s="705"/>
      <c r="Q140" s="705"/>
      <c r="R140" s="705"/>
    </row>
    <row r="141" spans="1:18" x14ac:dyDescent="0.2">
      <c r="A141" s="705"/>
      <c r="B141" s="705"/>
      <c r="C141" s="705"/>
      <c r="D141" s="705"/>
      <c r="E141" s="705"/>
      <c r="F141" s="705"/>
      <c r="G141" s="705"/>
      <c r="H141" s="705"/>
      <c r="I141" s="705"/>
      <c r="J141" s="705"/>
      <c r="K141" s="705"/>
      <c r="L141" s="705"/>
      <c r="M141" s="705"/>
      <c r="N141" s="705"/>
      <c r="O141" s="705"/>
      <c r="P141" s="705"/>
      <c r="Q141" s="705"/>
      <c r="R141" s="705"/>
    </row>
    <row r="142" spans="1:18" x14ac:dyDescent="0.2">
      <c r="A142" s="705"/>
      <c r="B142" s="705"/>
      <c r="C142" s="705"/>
      <c r="D142" s="705"/>
      <c r="E142" s="705"/>
      <c r="F142" s="705"/>
      <c r="G142" s="705"/>
      <c r="H142" s="705"/>
      <c r="I142" s="705"/>
      <c r="J142" s="705"/>
      <c r="K142" s="705"/>
      <c r="L142" s="705"/>
      <c r="M142" s="705"/>
      <c r="N142" s="705"/>
      <c r="O142" s="705"/>
      <c r="P142" s="705"/>
      <c r="Q142" s="705"/>
      <c r="R142" s="705"/>
    </row>
    <row r="143" spans="1:18" x14ac:dyDescent="0.2">
      <c r="A143" s="705"/>
      <c r="B143" s="705"/>
      <c r="C143" s="705"/>
      <c r="D143" s="705"/>
      <c r="E143" s="705"/>
      <c r="F143" s="705"/>
      <c r="G143" s="705"/>
      <c r="H143" s="705"/>
      <c r="I143" s="705"/>
      <c r="J143" s="705"/>
      <c r="K143" s="705"/>
      <c r="L143" s="705"/>
      <c r="M143" s="705"/>
      <c r="N143" s="705"/>
      <c r="O143" s="705"/>
      <c r="P143" s="705"/>
      <c r="Q143" s="705"/>
      <c r="R143" s="705"/>
    </row>
    <row r="144" spans="1:18" x14ac:dyDescent="0.2">
      <c r="A144" s="705"/>
      <c r="B144" s="705"/>
      <c r="C144" s="705"/>
      <c r="D144" s="705"/>
      <c r="E144" s="705"/>
      <c r="F144" s="705"/>
      <c r="G144" s="705"/>
      <c r="H144" s="705"/>
      <c r="I144" s="705"/>
      <c r="J144" s="705"/>
      <c r="K144" s="705"/>
      <c r="L144" s="705"/>
      <c r="M144" s="705"/>
      <c r="N144" s="705"/>
      <c r="O144" s="705"/>
      <c r="P144" s="705"/>
      <c r="Q144" s="705"/>
      <c r="R144" s="705"/>
    </row>
    <row r="145" spans="1:18" x14ac:dyDescent="0.2">
      <c r="A145" s="705"/>
      <c r="B145" s="705"/>
      <c r="C145" s="705"/>
      <c r="D145" s="705"/>
      <c r="E145" s="705"/>
      <c r="F145" s="705"/>
      <c r="G145" s="705"/>
      <c r="H145" s="705"/>
      <c r="I145" s="705"/>
      <c r="J145" s="705"/>
      <c r="K145" s="705"/>
      <c r="L145" s="705"/>
      <c r="M145" s="705"/>
      <c r="N145" s="705"/>
      <c r="O145" s="705"/>
      <c r="P145" s="705"/>
      <c r="Q145" s="705"/>
      <c r="R145" s="705"/>
    </row>
    <row r="146" spans="1:18" x14ac:dyDescent="0.2">
      <c r="A146" s="705"/>
      <c r="B146" s="705"/>
      <c r="C146" s="705"/>
      <c r="D146" s="705"/>
      <c r="E146" s="705"/>
      <c r="F146" s="705"/>
      <c r="G146" s="705"/>
      <c r="H146" s="705"/>
      <c r="I146" s="705"/>
      <c r="J146" s="705"/>
      <c r="K146" s="705"/>
      <c r="L146" s="705"/>
      <c r="M146" s="705"/>
      <c r="N146" s="705"/>
      <c r="O146" s="705"/>
      <c r="P146" s="705"/>
      <c r="Q146" s="705"/>
      <c r="R146" s="705"/>
    </row>
    <row r="147" spans="1:18" x14ac:dyDescent="0.2">
      <c r="A147" s="705"/>
      <c r="B147" s="705"/>
      <c r="C147" s="705"/>
      <c r="D147" s="705"/>
      <c r="E147" s="705"/>
      <c r="F147" s="705"/>
      <c r="G147" s="705"/>
      <c r="H147" s="705"/>
      <c r="I147" s="705"/>
      <c r="J147" s="705"/>
      <c r="K147" s="705"/>
      <c r="L147" s="705"/>
      <c r="M147" s="705"/>
      <c r="N147" s="705"/>
      <c r="O147" s="705"/>
      <c r="P147" s="705"/>
      <c r="Q147" s="705"/>
      <c r="R147" s="705"/>
    </row>
    <row r="148" spans="1:18" x14ac:dyDescent="0.2">
      <c r="A148" s="705"/>
      <c r="B148" s="705"/>
      <c r="C148" s="705"/>
      <c r="D148" s="705"/>
      <c r="E148" s="705"/>
      <c r="F148" s="705"/>
      <c r="G148" s="705"/>
      <c r="H148" s="705"/>
      <c r="I148" s="705"/>
      <c r="J148" s="705"/>
      <c r="K148" s="705"/>
      <c r="L148" s="705"/>
      <c r="M148" s="705"/>
      <c r="N148" s="705"/>
      <c r="O148" s="705"/>
      <c r="P148" s="705"/>
      <c r="Q148" s="705"/>
      <c r="R148" s="705"/>
    </row>
    <row r="149" spans="1:18" x14ac:dyDescent="0.2">
      <c r="A149" s="705"/>
      <c r="B149" s="705"/>
      <c r="C149" s="705"/>
      <c r="D149" s="705"/>
      <c r="E149" s="705"/>
      <c r="F149" s="705"/>
      <c r="G149" s="705"/>
      <c r="H149" s="705"/>
      <c r="I149" s="705"/>
      <c r="J149" s="705"/>
      <c r="K149" s="705"/>
      <c r="L149" s="705"/>
      <c r="M149" s="705"/>
      <c r="N149" s="705"/>
      <c r="O149" s="705"/>
      <c r="P149" s="705"/>
      <c r="Q149" s="705"/>
      <c r="R149" s="705"/>
    </row>
    <row r="150" spans="1:18" x14ac:dyDescent="0.2">
      <c r="A150" s="705"/>
      <c r="B150" s="705"/>
      <c r="C150" s="705"/>
      <c r="D150" s="705"/>
      <c r="E150" s="705"/>
      <c r="F150" s="705"/>
      <c r="G150" s="705"/>
      <c r="H150" s="705"/>
      <c r="I150" s="705"/>
      <c r="J150" s="705"/>
      <c r="K150" s="705"/>
      <c r="L150" s="705"/>
      <c r="M150" s="705"/>
      <c r="N150" s="705"/>
      <c r="O150" s="705"/>
      <c r="P150" s="705"/>
      <c r="Q150" s="705"/>
      <c r="R150" s="705"/>
    </row>
    <row r="151" spans="1:18" x14ac:dyDescent="0.2">
      <c r="A151" s="705"/>
      <c r="B151" s="705"/>
      <c r="C151" s="705"/>
      <c r="D151" s="705"/>
      <c r="E151" s="705"/>
      <c r="F151" s="705"/>
      <c r="G151" s="705"/>
      <c r="H151" s="705"/>
      <c r="I151" s="705"/>
      <c r="J151" s="705"/>
      <c r="K151" s="705"/>
      <c r="L151" s="705"/>
      <c r="M151" s="705"/>
      <c r="N151" s="705"/>
      <c r="O151" s="705"/>
      <c r="P151" s="705"/>
      <c r="Q151" s="705"/>
      <c r="R151" s="705"/>
    </row>
    <row r="152" spans="1:18" x14ac:dyDescent="0.2">
      <c r="A152" s="705"/>
      <c r="B152" s="705"/>
      <c r="C152" s="705"/>
      <c r="D152" s="705"/>
      <c r="E152" s="705"/>
      <c r="F152" s="705"/>
      <c r="G152" s="705"/>
      <c r="H152" s="705"/>
      <c r="I152" s="705"/>
      <c r="J152" s="705"/>
      <c r="K152" s="705"/>
      <c r="L152" s="705"/>
      <c r="M152" s="705"/>
      <c r="N152" s="705"/>
      <c r="O152" s="705"/>
      <c r="P152" s="705"/>
      <c r="Q152" s="705"/>
      <c r="R152" s="705"/>
    </row>
    <row r="153" spans="1:18" x14ac:dyDescent="0.2">
      <c r="A153" s="705"/>
      <c r="B153" s="705"/>
      <c r="C153" s="705"/>
      <c r="D153" s="705"/>
      <c r="E153" s="705"/>
      <c r="F153" s="705"/>
      <c r="G153" s="705"/>
      <c r="H153" s="705"/>
      <c r="I153" s="705"/>
      <c r="J153" s="705"/>
      <c r="K153" s="705"/>
      <c r="L153" s="705"/>
      <c r="M153" s="705"/>
      <c r="N153" s="705"/>
      <c r="O153" s="705"/>
      <c r="P153" s="705"/>
      <c r="Q153" s="705"/>
      <c r="R153" s="705"/>
    </row>
    <row r="154" spans="1:18" x14ac:dyDescent="0.2">
      <c r="A154" s="705"/>
      <c r="B154" s="705"/>
      <c r="C154" s="705"/>
      <c r="D154" s="705"/>
      <c r="E154" s="705"/>
      <c r="F154" s="705"/>
      <c r="G154" s="705"/>
      <c r="H154" s="705"/>
      <c r="I154" s="705"/>
      <c r="J154" s="705"/>
      <c r="K154" s="705"/>
      <c r="L154" s="705"/>
      <c r="M154" s="705"/>
      <c r="N154" s="705"/>
      <c r="O154" s="705"/>
      <c r="P154" s="705"/>
      <c r="Q154" s="705"/>
      <c r="R154" s="705"/>
    </row>
    <row r="155" spans="1:18" x14ac:dyDescent="0.2">
      <c r="A155" s="705"/>
      <c r="B155" s="705"/>
      <c r="C155" s="705"/>
      <c r="D155" s="705"/>
      <c r="E155" s="705"/>
      <c r="F155" s="705"/>
      <c r="G155" s="705"/>
      <c r="H155" s="705"/>
      <c r="I155" s="705"/>
      <c r="J155" s="705"/>
      <c r="K155" s="705"/>
      <c r="L155" s="705"/>
      <c r="M155" s="705"/>
      <c r="N155" s="705"/>
      <c r="O155" s="705"/>
      <c r="P155" s="705"/>
      <c r="Q155" s="705"/>
      <c r="R155" s="705"/>
    </row>
    <row r="156" spans="1:18" x14ac:dyDescent="0.2">
      <c r="A156" s="705"/>
      <c r="B156" s="705"/>
      <c r="C156" s="705"/>
      <c r="D156" s="705"/>
      <c r="E156" s="705"/>
      <c r="F156" s="705"/>
      <c r="G156" s="705"/>
      <c r="H156" s="705"/>
      <c r="I156" s="705"/>
      <c r="J156" s="705"/>
      <c r="K156" s="705"/>
      <c r="L156" s="705"/>
      <c r="M156" s="705"/>
      <c r="N156" s="705"/>
      <c r="O156" s="705"/>
      <c r="P156" s="705"/>
      <c r="Q156" s="705"/>
      <c r="R156" s="705"/>
    </row>
    <row r="157" spans="1:18" x14ac:dyDescent="0.2">
      <c r="A157" s="705"/>
      <c r="B157" s="705"/>
      <c r="C157" s="705"/>
      <c r="D157" s="705"/>
      <c r="E157" s="705"/>
      <c r="F157" s="705"/>
      <c r="G157" s="705"/>
      <c r="H157" s="705"/>
      <c r="I157" s="705"/>
      <c r="J157" s="705"/>
      <c r="K157" s="705"/>
      <c r="L157" s="705"/>
      <c r="M157" s="705"/>
      <c r="N157" s="705"/>
      <c r="O157" s="705"/>
      <c r="P157" s="705"/>
      <c r="Q157" s="705"/>
      <c r="R157" s="705"/>
    </row>
    <row r="158" spans="1:18" x14ac:dyDescent="0.2">
      <c r="A158" s="705"/>
      <c r="B158" s="705"/>
      <c r="C158" s="705"/>
      <c r="D158" s="705"/>
      <c r="E158" s="705"/>
      <c r="F158" s="705"/>
      <c r="G158" s="705"/>
      <c r="H158" s="705"/>
      <c r="I158" s="705"/>
      <c r="J158" s="705"/>
      <c r="K158" s="705"/>
      <c r="L158" s="705"/>
      <c r="M158" s="705"/>
      <c r="N158" s="705"/>
      <c r="O158" s="705"/>
      <c r="P158" s="705"/>
      <c r="Q158" s="705"/>
      <c r="R158" s="705"/>
    </row>
    <row r="159" spans="1:18" x14ac:dyDescent="0.2">
      <c r="A159" s="705"/>
      <c r="B159" s="705"/>
      <c r="C159" s="705"/>
      <c r="D159" s="705"/>
      <c r="E159" s="705"/>
      <c r="F159" s="705"/>
      <c r="G159" s="705"/>
      <c r="H159" s="705"/>
      <c r="I159" s="705"/>
      <c r="J159" s="705"/>
      <c r="K159" s="705"/>
      <c r="L159" s="705"/>
      <c r="M159" s="705"/>
      <c r="N159" s="705"/>
      <c r="O159" s="705"/>
      <c r="P159" s="705"/>
      <c r="Q159" s="705"/>
      <c r="R159" s="705"/>
    </row>
    <row r="160" spans="1:18" x14ac:dyDescent="0.2">
      <c r="A160" s="705"/>
      <c r="B160" s="705"/>
      <c r="C160" s="705"/>
      <c r="D160" s="705"/>
      <c r="E160" s="705"/>
      <c r="F160" s="705"/>
      <c r="G160" s="705"/>
      <c r="H160" s="705"/>
      <c r="I160" s="705"/>
      <c r="J160" s="705"/>
      <c r="K160" s="705"/>
      <c r="L160" s="705"/>
      <c r="M160" s="705"/>
      <c r="N160" s="705"/>
      <c r="O160" s="705"/>
      <c r="P160" s="705"/>
      <c r="Q160" s="705"/>
      <c r="R160" s="705"/>
    </row>
    <row r="161" spans="1:18" x14ac:dyDescent="0.2">
      <c r="A161" s="705"/>
      <c r="B161" s="705"/>
      <c r="C161" s="705"/>
      <c r="D161" s="705"/>
      <c r="E161" s="705"/>
      <c r="F161" s="705"/>
      <c r="G161" s="705"/>
      <c r="H161" s="705"/>
      <c r="I161" s="705"/>
      <c r="J161" s="705"/>
      <c r="K161" s="705"/>
      <c r="L161" s="705"/>
      <c r="M161" s="705"/>
      <c r="N161" s="705"/>
      <c r="O161" s="705"/>
      <c r="P161" s="705"/>
      <c r="Q161" s="705"/>
      <c r="R161" s="705"/>
    </row>
    <row r="162" spans="1:18" x14ac:dyDescent="0.2">
      <c r="A162" s="705"/>
      <c r="B162" s="705"/>
      <c r="C162" s="705"/>
      <c r="D162" s="705"/>
      <c r="E162" s="705"/>
      <c r="F162" s="705"/>
      <c r="G162" s="705"/>
      <c r="H162" s="705"/>
      <c r="I162" s="705"/>
      <c r="J162" s="705"/>
      <c r="K162" s="705"/>
      <c r="L162" s="705"/>
      <c r="M162" s="705"/>
      <c r="N162" s="705"/>
      <c r="O162" s="705"/>
      <c r="P162" s="705"/>
      <c r="Q162" s="705"/>
      <c r="R162" s="705"/>
    </row>
    <row r="163" spans="1:18" x14ac:dyDescent="0.2">
      <c r="A163" s="705"/>
      <c r="B163" s="705"/>
      <c r="C163" s="705"/>
      <c r="D163" s="705"/>
      <c r="E163" s="705"/>
      <c r="F163" s="705"/>
      <c r="G163" s="705"/>
      <c r="H163" s="705"/>
      <c r="I163" s="705"/>
      <c r="J163" s="705"/>
      <c r="K163" s="705"/>
      <c r="L163" s="705"/>
      <c r="M163" s="705"/>
      <c r="N163" s="705"/>
      <c r="O163" s="705"/>
      <c r="P163" s="705"/>
      <c r="Q163" s="705"/>
      <c r="R163" s="705"/>
    </row>
    <row r="164" spans="1:18" x14ac:dyDescent="0.2">
      <c r="A164" s="705"/>
      <c r="B164" s="705"/>
      <c r="C164" s="705"/>
      <c r="D164" s="705"/>
      <c r="E164" s="705"/>
      <c r="F164" s="705"/>
      <c r="G164" s="705"/>
      <c r="H164" s="705"/>
      <c r="I164" s="705"/>
      <c r="J164" s="705"/>
      <c r="K164" s="705"/>
      <c r="L164" s="705"/>
      <c r="M164" s="705"/>
      <c r="N164" s="705"/>
      <c r="O164" s="705"/>
      <c r="P164" s="705"/>
      <c r="Q164" s="705"/>
      <c r="R164" s="705"/>
    </row>
    <row r="165" spans="1:18" x14ac:dyDescent="0.2">
      <c r="A165" s="705"/>
      <c r="B165" s="705"/>
      <c r="C165" s="705"/>
      <c r="D165" s="705"/>
      <c r="E165" s="705"/>
      <c r="F165" s="705"/>
      <c r="G165" s="705"/>
      <c r="H165" s="705"/>
      <c r="I165" s="705"/>
      <c r="J165" s="705"/>
      <c r="K165" s="705"/>
      <c r="L165" s="705"/>
      <c r="M165" s="705"/>
      <c r="N165" s="705"/>
      <c r="O165" s="705"/>
      <c r="P165" s="705"/>
      <c r="Q165" s="705"/>
      <c r="R165" s="705"/>
    </row>
    <row r="166" spans="1:18" x14ac:dyDescent="0.2">
      <c r="A166" s="705"/>
      <c r="B166" s="705"/>
      <c r="C166" s="705"/>
      <c r="D166" s="705"/>
      <c r="E166" s="705"/>
      <c r="F166" s="705"/>
      <c r="G166" s="705"/>
      <c r="H166" s="705"/>
      <c r="I166" s="705"/>
      <c r="J166" s="705"/>
      <c r="K166" s="705"/>
      <c r="L166" s="705"/>
      <c r="M166" s="705"/>
      <c r="N166" s="705"/>
      <c r="O166" s="705"/>
      <c r="P166" s="705"/>
      <c r="Q166" s="705"/>
      <c r="R166" s="705"/>
    </row>
    <row r="167" spans="1:18" x14ac:dyDescent="0.2">
      <c r="A167" s="705"/>
      <c r="B167" s="705"/>
      <c r="C167" s="705"/>
      <c r="D167" s="705"/>
      <c r="E167" s="705"/>
      <c r="F167" s="705"/>
      <c r="G167" s="705"/>
      <c r="H167" s="705"/>
      <c r="I167" s="705"/>
      <c r="J167" s="705"/>
      <c r="K167" s="705"/>
      <c r="L167" s="705"/>
      <c r="M167" s="705"/>
      <c r="N167" s="705"/>
      <c r="O167" s="705"/>
      <c r="P167" s="705"/>
      <c r="Q167" s="705"/>
      <c r="R167" s="705"/>
    </row>
    <row r="168" spans="1:18" x14ac:dyDescent="0.2">
      <c r="A168" s="705"/>
      <c r="B168" s="705"/>
      <c r="C168" s="705"/>
      <c r="D168" s="705"/>
      <c r="E168" s="705"/>
      <c r="F168" s="705"/>
      <c r="G168" s="705"/>
      <c r="H168" s="705"/>
      <c r="I168" s="705"/>
      <c r="J168" s="705"/>
      <c r="K168" s="705"/>
      <c r="L168" s="705"/>
      <c r="M168" s="705"/>
      <c r="N168" s="705"/>
      <c r="O168" s="705"/>
      <c r="P168" s="705"/>
      <c r="Q168" s="705"/>
      <c r="R168" s="705"/>
    </row>
    <row r="169" spans="1:18" x14ac:dyDescent="0.2">
      <c r="A169" s="705"/>
      <c r="B169" s="705"/>
      <c r="C169" s="705"/>
      <c r="D169" s="705"/>
      <c r="E169" s="705"/>
      <c r="F169" s="705"/>
      <c r="G169" s="705"/>
      <c r="H169" s="705"/>
      <c r="I169" s="705"/>
      <c r="J169" s="705"/>
      <c r="K169" s="705"/>
      <c r="L169" s="705"/>
      <c r="M169" s="705"/>
      <c r="N169" s="705"/>
      <c r="O169" s="705"/>
      <c r="P169" s="705"/>
      <c r="Q169" s="705"/>
      <c r="R169" s="705"/>
    </row>
    <row r="170" spans="1:18" x14ac:dyDescent="0.2">
      <c r="A170" s="705"/>
      <c r="B170" s="705"/>
      <c r="C170" s="705"/>
      <c r="D170" s="705"/>
      <c r="E170" s="705"/>
      <c r="F170" s="705"/>
      <c r="G170" s="705"/>
      <c r="H170" s="705"/>
      <c r="I170" s="705"/>
      <c r="J170" s="705"/>
      <c r="K170" s="705"/>
      <c r="L170" s="705"/>
      <c r="M170" s="705"/>
      <c r="N170" s="705"/>
      <c r="O170" s="705"/>
      <c r="P170" s="705"/>
      <c r="Q170" s="705"/>
      <c r="R170" s="705"/>
    </row>
    <row r="171" spans="1:18" x14ac:dyDescent="0.2">
      <c r="A171" s="705"/>
      <c r="B171" s="705"/>
      <c r="C171" s="705"/>
      <c r="D171" s="705"/>
      <c r="E171" s="705"/>
      <c r="F171" s="705"/>
      <c r="G171" s="705"/>
      <c r="H171" s="705"/>
      <c r="I171" s="705"/>
      <c r="J171" s="705"/>
      <c r="K171" s="705"/>
      <c r="L171" s="705"/>
      <c r="M171" s="705"/>
      <c r="N171" s="705"/>
      <c r="O171" s="705"/>
      <c r="P171" s="705"/>
      <c r="Q171" s="705"/>
      <c r="R171" s="705"/>
    </row>
    <row r="172" spans="1:18" x14ac:dyDescent="0.2">
      <c r="A172" s="705"/>
      <c r="B172" s="705"/>
      <c r="C172" s="705"/>
      <c r="D172" s="705"/>
      <c r="E172" s="705"/>
      <c r="F172" s="705"/>
      <c r="G172" s="705"/>
      <c r="H172" s="705"/>
      <c r="I172" s="705"/>
      <c r="J172" s="705"/>
      <c r="K172" s="705"/>
      <c r="L172" s="705"/>
      <c r="M172" s="705"/>
      <c r="N172" s="705"/>
      <c r="O172" s="705"/>
      <c r="P172" s="705"/>
      <c r="Q172" s="705"/>
      <c r="R172" s="705"/>
    </row>
    <row r="173" spans="1:18" x14ac:dyDescent="0.2">
      <c r="A173" s="705"/>
      <c r="B173" s="705"/>
      <c r="C173" s="705"/>
      <c r="D173" s="705"/>
      <c r="E173" s="705"/>
      <c r="F173" s="705"/>
      <c r="G173" s="705"/>
      <c r="H173" s="705"/>
      <c r="I173" s="705"/>
      <c r="J173" s="705"/>
      <c r="K173" s="705"/>
      <c r="L173" s="705"/>
      <c r="M173" s="705"/>
      <c r="N173" s="705"/>
      <c r="O173" s="705"/>
      <c r="P173" s="705"/>
      <c r="Q173" s="705"/>
      <c r="R173" s="705"/>
    </row>
    <row r="174" spans="1:18" x14ac:dyDescent="0.2">
      <c r="A174" s="705"/>
      <c r="B174" s="705"/>
      <c r="C174" s="705"/>
      <c r="D174" s="705"/>
      <c r="E174" s="705"/>
      <c r="F174" s="705"/>
      <c r="G174" s="705"/>
      <c r="H174" s="705"/>
      <c r="I174" s="705"/>
      <c r="J174" s="705"/>
      <c r="K174" s="705"/>
      <c r="L174" s="705"/>
      <c r="M174" s="705"/>
      <c r="N174" s="705"/>
      <c r="O174" s="705"/>
      <c r="P174" s="705"/>
      <c r="Q174" s="705"/>
      <c r="R174" s="705"/>
    </row>
    <row r="175" spans="1:18" x14ac:dyDescent="0.2">
      <c r="A175" s="705"/>
      <c r="B175" s="705"/>
      <c r="C175" s="705"/>
      <c r="D175" s="705"/>
      <c r="E175" s="705"/>
      <c r="F175" s="705"/>
      <c r="G175" s="705"/>
      <c r="H175" s="705"/>
      <c r="I175" s="705"/>
      <c r="J175" s="705"/>
      <c r="K175" s="705"/>
      <c r="L175" s="705"/>
      <c r="M175" s="705"/>
      <c r="N175" s="705"/>
      <c r="O175" s="705"/>
      <c r="P175" s="705"/>
      <c r="Q175" s="705"/>
      <c r="R175" s="705"/>
    </row>
    <row r="176" spans="1:18" x14ac:dyDescent="0.2">
      <c r="A176" s="705"/>
      <c r="B176" s="705"/>
      <c r="C176" s="705"/>
      <c r="D176" s="705"/>
      <c r="E176" s="705"/>
      <c r="F176" s="705"/>
      <c r="G176" s="705"/>
      <c r="H176" s="705"/>
      <c r="I176" s="705"/>
      <c r="J176" s="705"/>
      <c r="K176" s="705"/>
      <c r="L176" s="705"/>
      <c r="M176" s="705"/>
      <c r="N176" s="705"/>
      <c r="O176" s="705"/>
      <c r="P176" s="705"/>
      <c r="Q176" s="705"/>
      <c r="R176" s="705"/>
    </row>
    <row r="177" spans="1:18" x14ac:dyDescent="0.2">
      <c r="A177" s="705"/>
      <c r="B177" s="705"/>
      <c r="C177" s="705"/>
      <c r="D177" s="705"/>
      <c r="E177" s="705"/>
      <c r="F177" s="705"/>
      <c r="G177" s="705"/>
      <c r="H177" s="705"/>
      <c r="I177" s="705"/>
      <c r="J177" s="705"/>
      <c r="K177" s="705"/>
      <c r="L177" s="705"/>
      <c r="M177" s="705"/>
      <c r="N177" s="705"/>
      <c r="O177" s="705"/>
      <c r="P177" s="705"/>
      <c r="Q177" s="705"/>
      <c r="R177" s="705"/>
    </row>
    <row r="178" spans="1:18" x14ac:dyDescent="0.2">
      <c r="A178" s="705"/>
      <c r="B178" s="705"/>
      <c r="C178" s="705"/>
      <c r="D178" s="705"/>
      <c r="E178" s="705"/>
      <c r="F178" s="705"/>
      <c r="G178" s="705"/>
      <c r="H178" s="705"/>
      <c r="I178" s="705"/>
      <c r="J178" s="705"/>
      <c r="K178" s="705"/>
      <c r="L178" s="705"/>
      <c r="M178" s="705"/>
      <c r="N178" s="705"/>
      <c r="O178" s="705"/>
      <c r="P178" s="705"/>
      <c r="Q178" s="705"/>
      <c r="R178" s="705"/>
    </row>
    <row r="179" spans="1:18" x14ac:dyDescent="0.2">
      <c r="A179" s="705"/>
      <c r="B179" s="705"/>
      <c r="C179" s="705"/>
      <c r="D179" s="705"/>
      <c r="E179" s="705"/>
      <c r="F179" s="705"/>
      <c r="G179" s="705"/>
      <c r="H179" s="705"/>
      <c r="I179" s="705"/>
      <c r="J179" s="705"/>
      <c r="K179" s="705"/>
      <c r="L179" s="705"/>
      <c r="M179" s="705"/>
      <c r="N179" s="705"/>
      <c r="O179" s="705"/>
      <c r="P179" s="705"/>
      <c r="Q179" s="705"/>
      <c r="R179" s="705"/>
    </row>
    <row r="180" spans="1:18" x14ac:dyDescent="0.2">
      <c r="A180" s="705"/>
      <c r="B180" s="705"/>
      <c r="C180" s="705"/>
      <c r="D180" s="705"/>
      <c r="E180" s="705"/>
      <c r="F180" s="705"/>
      <c r="G180" s="705"/>
      <c r="H180" s="705"/>
      <c r="I180" s="705"/>
      <c r="J180" s="705"/>
      <c r="K180" s="705"/>
      <c r="L180" s="705"/>
      <c r="M180" s="705"/>
      <c r="N180" s="705"/>
      <c r="O180" s="705"/>
      <c r="P180" s="705"/>
      <c r="Q180" s="705"/>
      <c r="R180" s="705"/>
    </row>
    <row r="181" spans="1:18" x14ac:dyDescent="0.2">
      <c r="A181" s="705"/>
      <c r="B181" s="705"/>
      <c r="C181" s="705"/>
      <c r="D181" s="705"/>
      <c r="E181" s="705"/>
      <c r="F181" s="705"/>
      <c r="G181" s="705"/>
      <c r="H181" s="705"/>
      <c r="I181" s="705"/>
      <c r="J181" s="705"/>
      <c r="K181" s="705"/>
      <c r="L181" s="705"/>
      <c r="M181" s="705"/>
      <c r="N181" s="705"/>
      <c r="O181" s="705"/>
      <c r="P181" s="705"/>
      <c r="Q181" s="705"/>
      <c r="R181" s="705"/>
    </row>
    <row r="182" spans="1:18" x14ac:dyDescent="0.2">
      <c r="A182" s="705"/>
      <c r="B182" s="705"/>
      <c r="C182" s="705"/>
      <c r="D182" s="705"/>
      <c r="E182" s="705"/>
      <c r="F182" s="705"/>
      <c r="G182" s="705"/>
      <c r="H182" s="705"/>
      <c r="I182" s="705"/>
      <c r="J182" s="705"/>
      <c r="K182" s="705"/>
      <c r="L182" s="705"/>
      <c r="M182" s="705"/>
      <c r="N182" s="705"/>
      <c r="O182" s="705"/>
      <c r="P182" s="705"/>
      <c r="Q182" s="705"/>
      <c r="R182" s="705"/>
    </row>
    <row r="183" spans="1:18" x14ac:dyDescent="0.2">
      <c r="A183" s="705"/>
      <c r="B183" s="705"/>
      <c r="C183" s="705"/>
      <c r="D183" s="705"/>
      <c r="E183" s="705"/>
      <c r="F183" s="705"/>
      <c r="G183" s="705"/>
      <c r="H183" s="705"/>
      <c r="I183" s="705"/>
      <c r="J183" s="705"/>
      <c r="K183" s="705"/>
      <c r="L183" s="705"/>
      <c r="M183" s="705"/>
      <c r="N183" s="705"/>
      <c r="O183" s="705"/>
      <c r="P183" s="705"/>
      <c r="Q183" s="705"/>
      <c r="R183" s="705"/>
    </row>
    <row r="184" spans="1:18" x14ac:dyDescent="0.2">
      <c r="A184" s="705"/>
      <c r="B184" s="705"/>
      <c r="C184" s="705"/>
      <c r="D184" s="705"/>
      <c r="E184" s="705"/>
      <c r="F184" s="705"/>
      <c r="G184" s="705"/>
      <c r="H184" s="705"/>
      <c r="I184" s="705"/>
      <c r="J184" s="705"/>
      <c r="K184" s="705"/>
      <c r="L184" s="705"/>
      <c r="M184" s="705"/>
      <c r="N184" s="705"/>
      <c r="O184" s="705"/>
      <c r="P184" s="705"/>
      <c r="Q184" s="705"/>
      <c r="R184" s="705"/>
    </row>
    <row r="185" spans="1:18" x14ac:dyDescent="0.2">
      <c r="A185" s="705"/>
      <c r="B185" s="705"/>
      <c r="C185" s="705"/>
      <c r="D185" s="705"/>
      <c r="E185" s="705"/>
      <c r="F185" s="705"/>
      <c r="G185" s="705"/>
      <c r="H185" s="705"/>
      <c r="I185" s="705"/>
      <c r="J185" s="705"/>
      <c r="K185" s="705"/>
      <c r="L185" s="705"/>
      <c r="M185" s="705"/>
      <c r="N185" s="705"/>
      <c r="O185" s="705"/>
      <c r="P185" s="705"/>
      <c r="Q185" s="705"/>
      <c r="R185" s="705"/>
    </row>
    <row r="186" spans="1:18" x14ac:dyDescent="0.2">
      <c r="A186" s="705"/>
      <c r="B186" s="705"/>
      <c r="C186" s="705"/>
      <c r="D186" s="705"/>
      <c r="E186" s="705"/>
      <c r="F186" s="705"/>
      <c r="G186" s="705"/>
      <c r="H186" s="705"/>
      <c r="I186" s="705"/>
      <c r="J186" s="705"/>
      <c r="K186" s="705"/>
      <c r="L186" s="705"/>
      <c r="M186" s="705"/>
      <c r="N186" s="705"/>
      <c r="O186" s="705"/>
      <c r="P186" s="705"/>
      <c r="Q186" s="705"/>
      <c r="R186" s="705"/>
    </row>
    <row r="187" spans="1:18" x14ac:dyDescent="0.2">
      <c r="A187" s="705"/>
      <c r="B187" s="705"/>
      <c r="C187" s="705"/>
      <c r="D187" s="705"/>
      <c r="E187" s="705"/>
      <c r="F187" s="705"/>
      <c r="G187" s="705"/>
      <c r="H187" s="705"/>
      <c r="I187" s="705"/>
      <c r="J187" s="705"/>
      <c r="K187" s="705"/>
      <c r="L187" s="705"/>
      <c r="M187" s="705"/>
      <c r="N187" s="705"/>
      <c r="O187" s="705"/>
      <c r="P187" s="705"/>
      <c r="Q187" s="705"/>
      <c r="R187" s="705"/>
    </row>
    <row r="188" spans="1:18" x14ac:dyDescent="0.2">
      <c r="A188" s="705"/>
      <c r="B188" s="705"/>
      <c r="C188" s="705"/>
      <c r="D188" s="705"/>
      <c r="E188" s="705"/>
      <c r="F188" s="705"/>
      <c r="G188" s="705"/>
      <c r="H188" s="705"/>
      <c r="I188" s="705"/>
      <c r="J188" s="705"/>
      <c r="K188" s="705"/>
      <c r="L188" s="705"/>
      <c r="M188" s="705"/>
      <c r="N188" s="705"/>
      <c r="O188" s="705"/>
      <c r="P188" s="705"/>
      <c r="Q188" s="705"/>
      <c r="R188" s="705"/>
    </row>
    <row r="189" spans="1:18" x14ac:dyDescent="0.2">
      <c r="A189" s="705"/>
      <c r="B189" s="705"/>
      <c r="C189" s="705"/>
      <c r="D189" s="705"/>
      <c r="E189" s="705"/>
      <c r="F189" s="705"/>
      <c r="G189" s="705"/>
      <c r="H189" s="705"/>
      <c r="I189" s="705"/>
      <c r="J189" s="705"/>
      <c r="K189" s="705"/>
      <c r="L189" s="705"/>
      <c r="M189" s="705"/>
      <c r="N189" s="705"/>
      <c r="O189" s="705"/>
      <c r="P189" s="705"/>
      <c r="Q189" s="705"/>
      <c r="R189" s="705"/>
    </row>
    <row r="190" spans="1:18" x14ac:dyDescent="0.2">
      <c r="A190" s="705"/>
      <c r="B190" s="705"/>
      <c r="C190" s="705"/>
      <c r="D190" s="705"/>
      <c r="E190" s="705"/>
      <c r="F190" s="705"/>
      <c r="G190" s="705"/>
      <c r="H190" s="705"/>
      <c r="I190" s="705"/>
      <c r="J190" s="705"/>
      <c r="K190" s="705"/>
      <c r="L190" s="705"/>
      <c r="M190" s="705"/>
      <c r="N190" s="705"/>
      <c r="O190" s="705"/>
      <c r="P190" s="705"/>
      <c r="Q190" s="705"/>
      <c r="R190" s="705"/>
    </row>
    <row r="191" spans="1:18" x14ac:dyDescent="0.2">
      <c r="A191" s="705"/>
      <c r="B191" s="705"/>
      <c r="C191" s="705"/>
      <c r="D191" s="705"/>
      <c r="E191" s="705"/>
      <c r="F191" s="705"/>
      <c r="G191" s="705"/>
      <c r="H191" s="705"/>
      <c r="I191" s="705"/>
      <c r="J191" s="705"/>
      <c r="K191" s="705"/>
      <c r="L191" s="705"/>
      <c r="M191" s="705"/>
      <c r="N191" s="705"/>
      <c r="O191" s="705"/>
      <c r="P191" s="705"/>
      <c r="Q191" s="705"/>
      <c r="R191" s="705"/>
    </row>
    <row r="192" spans="1:18" x14ac:dyDescent="0.2">
      <c r="A192" s="705"/>
      <c r="B192" s="705"/>
      <c r="C192" s="705"/>
      <c r="D192" s="705"/>
      <c r="E192" s="705"/>
      <c r="F192" s="705"/>
      <c r="G192" s="705"/>
      <c r="H192" s="705"/>
      <c r="I192" s="705"/>
      <c r="J192" s="705"/>
      <c r="K192" s="705"/>
      <c r="L192" s="705"/>
      <c r="M192" s="705"/>
      <c r="N192" s="705"/>
      <c r="O192" s="705"/>
      <c r="P192" s="705"/>
      <c r="Q192" s="705"/>
      <c r="R192" s="705"/>
    </row>
    <row r="193" spans="1:18" x14ac:dyDescent="0.2">
      <c r="A193" s="705"/>
      <c r="B193" s="705"/>
      <c r="C193" s="705"/>
      <c r="D193" s="705"/>
      <c r="E193" s="705"/>
      <c r="F193" s="705"/>
      <c r="G193" s="705"/>
      <c r="H193" s="705"/>
      <c r="I193" s="705"/>
      <c r="J193" s="705"/>
      <c r="K193" s="705"/>
      <c r="L193" s="705"/>
      <c r="M193" s="705"/>
      <c r="N193" s="705"/>
      <c r="O193" s="705"/>
      <c r="P193" s="705"/>
      <c r="Q193" s="705"/>
      <c r="R193" s="705"/>
    </row>
    <row r="194" spans="1:18" x14ac:dyDescent="0.2">
      <c r="A194" s="705"/>
      <c r="B194" s="705"/>
      <c r="C194" s="705"/>
      <c r="D194" s="705"/>
      <c r="E194" s="705"/>
      <c r="F194" s="705"/>
      <c r="G194" s="705"/>
      <c r="H194" s="705"/>
      <c r="I194" s="705"/>
      <c r="J194" s="705"/>
      <c r="K194" s="705"/>
      <c r="L194" s="705"/>
      <c r="M194" s="705"/>
      <c r="N194" s="705"/>
      <c r="O194" s="705"/>
      <c r="P194" s="705"/>
      <c r="Q194" s="705"/>
      <c r="R194" s="705"/>
    </row>
    <row r="195" spans="1:18" x14ac:dyDescent="0.2">
      <c r="A195" s="705"/>
      <c r="B195" s="705"/>
      <c r="C195" s="705"/>
      <c r="D195" s="705"/>
      <c r="E195" s="705"/>
      <c r="F195" s="705"/>
      <c r="G195" s="705"/>
      <c r="H195" s="705"/>
      <c r="I195" s="705"/>
      <c r="J195" s="705"/>
      <c r="K195" s="705"/>
      <c r="L195" s="705"/>
      <c r="M195" s="705"/>
      <c r="N195" s="705"/>
      <c r="O195" s="705"/>
      <c r="P195" s="705"/>
      <c r="Q195" s="705"/>
      <c r="R195" s="705"/>
    </row>
    <row r="196" spans="1:18" x14ac:dyDescent="0.2">
      <c r="A196" s="705"/>
      <c r="B196" s="705"/>
      <c r="C196" s="705"/>
      <c r="D196" s="705"/>
      <c r="E196" s="705"/>
      <c r="F196" s="705"/>
      <c r="G196" s="705"/>
      <c r="H196" s="705"/>
      <c r="I196" s="705"/>
      <c r="J196" s="705"/>
      <c r="K196" s="705"/>
      <c r="L196" s="705"/>
      <c r="M196" s="705"/>
      <c r="N196" s="705"/>
      <c r="O196" s="705"/>
      <c r="P196" s="705"/>
      <c r="Q196" s="705"/>
      <c r="R196" s="705"/>
    </row>
    <row r="197" spans="1:18" x14ac:dyDescent="0.2">
      <c r="A197" s="705"/>
      <c r="B197" s="705"/>
      <c r="C197" s="705"/>
      <c r="D197" s="705"/>
      <c r="E197" s="705"/>
      <c r="F197" s="705"/>
      <c r="G197" s="705"/>
      <c r="H197" s="705"/>
      <c r="I197" s="705"/>
      <c r="J197" s="705"/>
      <c r="K197" s="705"/>
      <c r="L197" s="705"/>
      <c r="M197" s="705"/>
      <c r="N197" s="705"/>
      <c r="O197" s="705"/>
      <c r="P197" s="705"/>
      <c r="Q197" s="705"/>
      <c r="R197" s="705"/>
    </row>
    <row r="198" spans="1:18" x14ac:dyDescent="0.2">
      <c r="A198" s="705"/>
      <c r="B198" s="705"/>
      <c r="C198" s="705"/>
      <c r="D198" s="705"/>
      <c r="E198" s="705"/>
      <c r="F198" s="705"/>
      <c r="G198" s="705"/>
      <c r="H198" s="705"/>
      <c r="I198" s="705"/>
      <c r="J198" s="705"/>
      <c r="K198" s="705"/>
      <c r="L198" s="705"/>
      <c r="M198" s="705"/>
      <c r="N198" s="705"/>
      <c r="O198" s="705"/>
      <c r="P198" s="705"/>
      <c r="Q198" s="705"/>
      <c r="R198" s="705"/>
    </row>
    <row r="199" spans="1:18" x14ac:dyDescent="0.2">
      <c r="A199" s="705"/>
      <c r="B199" s="705"/>
      <c r="C199" s="705"/>
      <c r="D199" s="705"/>
      <c r="E199" s="705"/>
      <c r="F199" s="705"/>
      <c r="G199" s="705"/>
      <c r="H199" s="705"/>
      <c r="I199" s="705"/>
      <c r="J199" s="705"/>
      <c r="K199" s="705"/>
      <c r="L199" s="705"/>
      <c r="M199" s="705"/>
      <c r="N199" s="705"/>
      <c r="O199" s="705"/>
      <c r="P199" s="705"/>
      <c r="Q199" s="705"/>
      <c r="R199" s="705"/>
    </row>
    <row r="200" spans="1:18" x14ac:dyDescent="0.2">
      <c r="A200" s="705"/>
      <c r="B200" s="705"/>
      <c r="C200" s="705"/>
      <c r="D200" s="705"/>
      <c r="E200" s="705"/>
      <c r="F200" s="705"/>
      <c r="G200" s="705"/>
      <c r="H200" s="705"/>
      <c r="I200" s="705"/>
      <c r="J200" s="705"/>
      <c r="K200" s="705"/>
      <c r="L200" s="705"/>
      <c r="M200" s="705"/>
      <c r="N200" s="705"/>
      <c r="O200" s="705"/>
      <c r="P200" s="705"/>
      <c r="Q200" s="705"/>
      <c r="R200" s="705"/>
    </row>
    <row r="201" spans="1:18" x14ac:dyDescent="0.2">
      <c r="A201" s="705"/>
      <c r="B201" s="705"/>
      <c r="C201" s="705"/>
      <c r="D201" s="705"/>
      <c r="E201" s="705"/>
      <c r="F201" s="705"/>
      <c r="G201" s="705"/>
      <c r="H201" s="705"/>
      <c r="I201" s="705"/>
      <c r="J201" s="705"/>
      <c r="K201" s="705"/>
      <c r="L201" s="705"/>
      <c r="M201" s="705"/>
      <c r="N201" s="705"/>
      <c r="O201" s="705"/>
      <c r="P201" s="705"/>
      <c r="Q201" s="705"/>
      <c r="R201" s="705"/>
    </row>
    <row r="202" spans="1:18" x14ac:dyDescent="0.2">
      <c r="A202" s="705"/>
      <c r="B202" s="705"/>
      <c r="C202" s="705"/>
      <c r="D202" s="705"/>
      <c r="E202" s="705"/>
      <c r="F202" s="705"/>
      <c r="G202" s="705"/>
      <c r="H202" s="705"/>
      <c r="I202" s="705"/>
      <c r="J202" s="705"/>
      <c r="K202" s="705"/>
      <c r="L202" s="705"/>
      <c r="M202" s="705"/>
      <c r="N202" s="705"/>
      <c r="O202" s="705"/>
      <c r="P202" s="705"/>
      <c r="Q202" s="705"/>
      <c r="R202" s="705"/>
    </row>
    <row r="203" spans="1:18" x14ac:dyDescent="0.2">
      <c r="A203" s="705"/>
      <c r="B203" s="705"/>
      <c r="C203" s="705"/>
      <c r="D203" s="705"/>
      <c r="E203" s="705"/>
      <c r="F203" s="705"/>
      <c r="G203" s="705"/>
      <c r="H203" s="705"/>
      <c r="I203" s="705"/>
      <c r="J203" s="705"/>
      <c r="K203" s="705"/>
      <c r="L203" s="705"/>
      <c r="M203" s="705"/>
      <c r="N203" s="705"/>
      <c r="O203" s="705"/>
      <c r="P203" s="705"/>
      <c r="Q203" s="705"/>
      <c r="R203" s="705"/>
    </row>
    <row r="204" spans="1:18" x14ac:dyDescent="0.2">
      <c r="A204" s="705"/>
      <c r="B204" s="705"/>
      <c r="C204" s="705"/>
      <c r="D204" s="705"/>
      <c r="E204" s="705"/>
      <c r="F204" s="705"/>
      <c r="G204" s="705"/>
      <c r="H204" s="705"/>
      <c r="I204" s="705"/>
      <c r="J204" s="705"/>
      <c r="K204" s="705"/>
      <c r="L204" s="705"/>
      <c r="M204" s="705"/>
      <c r="N204" s="705"/>
      <c r="O204" s="705"/>
      <c r="P204" s="705"/>
      <c r="Q204" s="705"/>
      <c r="R204" s="705"/>
    </row>
    <row r="205" spans="1:18" x14ac:dyDescent="0.2">
      <c r="A205" s="705"/>
      <c r="B205" s="705"/>
      <c r="C205" s="705"/>
      <c r="D205" s="705"/>
      <c r="E205" s="705"/>
      <c r="F205" s="705"/>
      <c r="G205" s="705"/>
      <c r="H205" s="705"/>
      <c r="I205" s="705"/>
      <c r="J205" s="705"/>
      <c r="K205" s="705"/>
      <c r="L205" s="705"/>
      <c r="M205" s="705"/>
      <c r="N205" s="705"/>
      <c r="O205" s="705"/>
      <c r="P205" s="705"/>
      <c r="Q205" s="705"/>
      <c r="R205" s="705"/>
    </row>
    <row r="206" spans="1:18" x14ac:dyDescent="0.2">
      <c r="A206" s="705"/>
      <c r="B206" s="705"/>
      <c r="C206" s="705"/>
      <c r="D206" s="705"/>
      <c r="E206" s="705"/>
      <c r="F206" s="705"/>
      <c r="G206" s="705"/>
      <c r="H206" s="705"/>
      <c r="I206" s="705"/>
      <c r="J206" s="705"/>
      <c r="K206" s="705"/>
      <c r="L206" s="705"/>
      <c r="M206" s="705"/>
      <c r="N206" s="705"/>
      <c r="O206" s="705"/>
      <c r="P206" s="705"/>
      <c r="Q206" s="705"/>
      <c r="R206" s="705"/>
    </row>
    <row r="207" spans="1:18" x14ac:dyDescent="0.2">
      <c r="A207" s="705"/>
      <c r="B207" s="705"/>
      <c r="C207" s="705"/>
      <c r="D207" s="705"/>
      <c r="E207" s="705"/>
      <c r="F207" s="705"/>
      <c r="G207" s="705"/>
      <c r="H207" s="705"/>
      <c r="I207" s="705"/>
      <c r="J207" s="705"/>
      <c r="K207" s="705"/>
      <c r="L207" s="705"/>
      <c r="M207" s="705"/>
      <c r="N207" s="705"/>
      <c r="O207" s="705"/>
      <c r="P207" s="705"/>
      <c r="Q207" s="705"/>
      <c r="R207" s="705"/>
    </row>
    <row r="208" spans="1:18" x14ac:dyDescent="0.2">
      <c r="A208" s="705"/>
      <c r="B208" s="705"/>
      <c r="C208" s="705"/>
      <c r="D208" s="705"/>
      <c r="E208" s="705"/>
      <c r="F208" s="705"/>
      <c r="G208" s="705"/>
      <c r="H208" s="705"/>
      <c r="I208" s="705"/>
      <c r="J208" s="705"/>
      <c r="K208" s="705"/>
      <c r="L208" s="705"/>
      <c r="M208" s="705"/>
      <c r="N208" s="705"/>
      <c r="O208" s="705"/>
      <c r="P208" s="705"/>
      <c r="Q208" s="705"/>
      <c r="R208" s="705"/>
    </row>
    <row r="209" spans="1:18" x14ac:dyDescent="0.2">
      <c r="A209" s="705"/>
      <c r="B209" s="705"/>
      <c r="C209" s="705"/>
      <c r="D209" s="705"/>
      <c r="E209" s="705"/>
      <c r="F209" s="705"/>
      <c r="G209" s="705"/>
      <c r="H209" s="705"/>
      <c r="I209" s="705"/>
      <c r="J209" s="705"/>
      <c r="K209" s="705"/>
      <c r="L209" s="705"/>
      <c r="M209" s="705"/>
      <c r="N209" s="705"/>
      <c r="O209" s="705"/>
      <c r="P209" s="705"/>
      <c r="Q209" s="705"/>
      <c r="R209" s="705"/>
    </row>
    <row r="210" spans="1:18" x14ac:dyDescent="0.2">
      <c r="A210" s="705"/>
      <c r="B210" s="705"/>
      <c r="C210" s="705"/>
      <c r="D210" s="705"/>
      <c r="E210" s="705"/>
      <c r="F210" s="705"/>
      <c r="G210" s="705"/>
      <c r="H210" s="705"/>
      <c r="I210" s="705"/>
      <c r="J210" s="705"/>
      <c r="K210" s="705"/>
      <c r="L210" s="705"/>
      <c r="M210" s="705"/>
      <c r="N210" s="705"/>
      <c r="O210" s="705"/>
      <c r="P210" s="705"/>
      <c r="Q210" s="705"/>
      <c r="R210" s="705"/>
    </row>
    <row r="211" spans="1:18" x14ac:dyDescent="0.2">
      <c r="A211" s="705"/>
      <c r="B211" s="705"/>
      <c r="C211" s="705"/>
      <c r="D211" s="705"/>
      <c r="E211" s="705"/>
      <c r="F211" s="705"/>
      <c r="G211" s="705"/>
      <c r="H211" s="705"/>
      <c r="I211" s="705"/>
      <c r="J211" s="705"/>
      <c r="K211" s="705"/>
      <c r="L211" s="705"/>
      <c r="M211" s="705"/>
      <c r="N211" s="705"/>
      <c r="O211" s="705"/>
      <c r="P211" s="705"/>
      <c r="Q211" s="705"/>
      <c r="R211" s="705"/>
    </row>
    <row r="212" spans="1:18" x14ac:dyDescent="0.2">
      <c r="A212" s="705"/>
      <c r="B212" s="705"/>
      <c r="C212" s="705"/>
      <c r="D212" s="705"/>
      <c r="E212" s="705"/>
      <c r="F212" s="705"/>
      <c r="G212" s="705"/>
      <c r="H212" s="705"/>
      <c r="I212" s="705"/>
      <c r="J212" s="705"/>
      <c r="K212" s="705"/>
      <c r="L212" s="705"/>
      <c r="M212" s="705"/>
      <c r="N212" s="705"/>
      <c r="O212" s="705"/>
      <c r="P212" s="705"/>
      <c r="Q212" s="705"/>
      <c r="R212" s="705"/>
    </row>
    <row r="213" spans="1:18" x14ac:dyDescent="0.2">
      <c r="A213" s="705"/>
      <c r="B213" s="705"/>
      <c r="C213" s="705"/>
      <c r="D213" s="705"/>
      <c r="E213" s="705"/>
      <c r="F213" s="705"/>
      <c r="G213" s="705"/>
      <c r="H213" s="705"/>
      <c r="I213" s="705"/>
      <c r="J213" s="705"/>
      <c r="K213" s="705"/>
      <c r="L213" s="705"/>
      <c r="M213" s="705"/>
      <c r="N213" s="705"/>
      <c r="O213" s="705"/>
      <c r="P213" s="705"/>
      <c r="Q213" s="705"/>
      <c r="R213" s="705"/>
    </row>
    <row r="214" spans="1:18" x14ac:dyDescent="0.2">
      <c r="A214" s="705"/>
      <c r="B214" s="705"/>
      <c r="C214" s="705"/>
      <c r="D214" s="705"/>
      <c r="E214" s="705"/>
      <c r="F214" s="705"/>
      <c r="G214" s="705"/>
      <c r="H214" s="705"/>
      <c r="I214" s="705"/>
      <c r="J214" s="705"/>
      <c r="K214" s="705"/>
      <c r="L214" s="705"/>
      <c r="M214" s="705"/>
      <c r="N214" s="705"/>
      <c r="O214" s="705"/>
      <c r="P214" s="705"/>
      <c r="Q214" s="705"/>
      <c r="R214" s="705"/>
    </row>
    <row r="215" spans="1:18" x14ac:dyDescent="0.2">
      <c r="A215" s="705"/>
      <c r="B215" s="705"/>
      <c r="C215" s="705"/>
      <c r="D215" s="705"/>
      <c r="E215" s="705"/>
      <c r="F215" s="705"/>
      <c r="G215" s="705"/>
      <c r="H215" s="705"/>
      <c r="I215" s="705"/>
      <c r="J215" s="705"/>
      <c r="K215" s="705"/>
      <c r="L215" s="705"/>
      <c r="M215" s="705"/>
      <c r="N215" s="705"/>
      <c r="O215" s="705"/>
      <c r="P215" s="705"/>
      <c r="Q215" s="705"/>
      <c r="R215" s="705"/>
    </row>
    <row r="216" spans="1:18" x14ac:dyDescent="0.2">
      <c r="A216" s="705"/>
      <c r="B216" s="705"/>
      <c r="C216" s="705"/>
      <c r="D216" s="705"/>
      <c r="E216" s="705"/>
      <c r="F216" s="705"/>
      <c r="G216" s="705"/>
      <c r="H216" s="705"/>
      <c r="I216" s="705"/>
      <c r="J216" s="705"/>
      <c r="K216" s="705"/>
      <c r="L216" s="705"/>
      <c r="M216" s="705"/>
      <c r="N216" s="705"/>
      <c r="O216" s="705"/>
      <c r="P216" s="705"/>
      <c r="Q216" s="705"/>
      <c r="R216" s="705"/>
    </row>
    <row r="217" spans="1:18" x14ac:dyDescent="0.2">
      <c r="A217" s="705"/>
      <c r="B217" s="705"/>
      <c r="C217" s="705"/>
      <c r="D217" s="705"/>
      <c r="E217" s="705"/>
      <c r="F217" s="705"/>
      <c r="G217" s="705"/>
      <c r="H217" s="705"/>
      <c r="I217" s="705"/>
      <c r="J217" s="705"/>
      <c r="K217" s="705"/>
      <c r="L217" s="705"/>
      <c r="M217" s="705"/>
      <c r="N217" s="705"/>
      <c r="O217" s="705"/>
      <c r="P217" s="705"/>
      <c r="Q217" s="705"/>
      <c r="R217" s="705"/>
    </row>
    <row r="218" spans="1:18" x14ac:dyDescent="0.2">
      <c r="A218" s="705"/>
      <c r="B218" s="705"/>
      <c r="C218" s="705"/>
      <c r="D218" s="705"/>
      <c r="E218" s="705"/>
      <c r="F218" s="705"/>
      <c r="G218" s="705"/>
      <c r="H218" s="705"/>
      <c r="I218" s="705"/>
      <c r="J218" s="705"/>
      <c r="K218" s="705"/>
      <c r="L218" s="705"/>
      <c r="M218" s="705"/>
      <c r="N218" s="705"/>
      <c r="O218" s="705"/>
      <c r="P218" s="705"/>
      <c r="Q218" s="705"/>
      <c r="R218" s="705"/>
    </row>
    <row r="219" spans="1:18" x14ac:dyDescent="0.2">
      <c r="A219" s="705"/>
      <c r="B219" s="705"/>
      <c r="C219" s="705"/>
      <c r="D219" s="705"/>
      <c r="E219" s="705"/>
      <c r="F219" s="705"/>
      <c r="G219" s="705"/>
      <c r="H219" s="705"/>
      <c r="I219" s="705"/>
      <c r="J219" s="705"/>
      <c r="K219" s="705"/>
      <c r="L219" s="705"/>
      <c r="M219" s="705"/>
      <c r="N219" s="705"/>
      <c r="O219" s="705"/>
      <c r="P219" s="705"/>
      <c r="Q219" s="705"/>
      <c r="R219" s="705"/>
    </row>
    <row r="220" spans="1:18" x14ac:dyDescent="0.2">
      <c r="A220" s="705"/>
      <c r="B220" s="705"/>
      <c r="C220" s="705"/>
      <c r="D220" s="705"/>
      <c r="E220" s="705"/>
      <c r="F220" s="705"/>
      <c r="G220" s="705"/>
      <c r="H220" s="705"/>
      <c r="I220" s="705"/>
      <c r="J220" s="705"/>
      <c r="K220" s="705"/>
      <c r="L220" s="705"/>
      <c r="M220" s="705"/>
      <c r="N220" s="705"/>
      <c r="O220" s="705"/>
      <c r="P220" s="705"/>
      <c r="Q220" s="705"/>
      <c r="R220" s="705"/>
    </row>
    <row r="221" spans="1:18" x14ac:dyDescent="0.2">
      <c r="A221" s="705"/>
      <c r="B221" s="705"/>
      <c r="C221" s="705"/>
      <c r="D221" s="705"/>
      <c r="E221" s="705"/>
      <c r="F221" s="705"/>
      <c r="G221" s="705"/>
      <c r="H221" s="705"/>
      <c r="I221" s="705"/>
      <c r="J221" s="705"/>
      <c r="K221" s="705"/>
      <c r="L221" s="705"/>
      <c r="M221" s="705"/>
      <c r="N221" s="705"/>
      <c r="O221" s="705"/>
      <c r="P221" s="705"/>
      <c r="Q221" s="705"/>
      <c r="R221" s="705"/>
    </row>
    <row r="222" spans="1:18" x14ac:dyDescent="0.2">
      <c r="A222" s="705"/>
      <c r="B222" s="705"/>
      <c r="C222" s="705"/>
      <c r="D222" s="705"/>
      <c r="E222" s="705"/>
      <c r="F222" s="705"/>
      <c r="G222" s="705"/>
      <c r="H222" s="705"/>
      <c r="I222" s="705"/>
      <c r="J222" s="705"/>
      <c r="K222" s="705"/>
      <c r="L222" s="705"/>
      <c r="M222" s="705"/>
      <c r="N222" s="705"/>
      <c r="O222" s="705"/>
      <c r="P222" s="705"/>
      <c r="Q222" s="705"/>
      <c r="R222" s="705"/>
    </row>
    <row r="223" spans="1:18" x14ac:dyDescent="0.2">
      <c r="A223" s="705"/>
      <c r="B223" s="705"/>
      <c r="C223" s="705"/>
      <c r="D223" s="705"/>
      <c r="E223" s="705"/>
      <c r="F223" s="705"/>
      <c r="G223" s="705"/>
      <c r="H223" s="705"/>
      <c r="I223" s="705"/>
      <c r="J223" s="705"/>
      <c r="K223" s="705"/>
      <c r="L223" s="705"/>
      <c r="M223" s="705"/>
      <c r="N223" s="705"/>
      <c r="O223" s="705"/>
      <c r="P223" s="705"/>
      <c r="Q223" s="705"/>
      <c r="R223" s="705"/>
    </row>
    <row r="224" spans="1:18" x14ac:dyDescent="0.2">
      <c r="A224" s="705"/>
      <c r="B224" s="705"/>
      <c r="C224" s="705"/>
      <c r="D224" s="705"/>
      <c r="E224" s="705"/>
      <c r="F224" s="705"/>
      <c r="G224" s="705"/>
      <c r="H224" s="705"/>
      <c r="I224" s="705"/>
      <c r="J224" s="705"/>
      <c r="K224" s="705"/>
      <c r="L224" s="705"/>
      <c r="M224" s="705"/>
      <c r="N224" s="705"/>
      <c r="O224" s="705"/>
      <c r="P224" s="705"/>
      <c r="Q224" s="705"/>
      <c r="R224" s="705"/>
    </row>
    <row r="225" spans="1:18" x14ac:dyDescent="0.2">
      <c r="A225" s="705"/>
      <c r="B225" s="705"/>
      <c r="C225" s="705"/>
      <c r="D225" s="705"/>
      <c r="E225" s="705"/>
      <c r="F225" s="705"/>
      <c r="G225" s="705"/>
      <c r="H225" s="705"/>
      <c r="I225" s="705"/>
      <c r="J225" s="705"/>
      <c r="K225" s="705"/>
      <c r="L225" s="705"/>
      <c r="M225" s="705"/>
      <c r="N225" s="705"/>
      <c r="O225" s="705"/>
      <c r="P225" s="705"/>
      <c r="Q225" s="705"/>
      <c r="R225" s="705"/>
    </row>
    <row r="226" spans="1:18" x14ac:dyDescent="0.2">
      <c r="A226" s="705"/>
      <c r="B226" s="705"/>
      <c r="C226" s="705"/>
      <c r="D226" s="705"/>
      <c r="E226" s="705"/>
      <c r="F226" s="705"/>
      <c r="G226" s="705"/>
      <c r="H226" s="705"/>
      <c r="I226" s="705"/>
      <c r="J226" s="705"/>
      <c r="K226" s="705"/>
      <c r="L226" s="705"/>
      <c r="M226" s="705"/>
      <c r="N226" s="705"/>
      <c r="O226" s="705"/>
      <c r="P226" s="705"/>
      <c r="Q226" s="705"/>
      <c r="R226" s="705"/>
    </row>
    <row r="227" spans="1:18" x14ac:dyDescent="0.2">
      <c r="A227" s="705"/>
      <c r="B227" s="705"/>
      <c r="C227" s="705"/>
      <c r="D227" s="705"/>
      <c r="E227" s="705"/>
      <c r="F227" s="705"/>
      <c r="G227" s="705"/>
      <c r="H227" s="705"/>
      <c r="I227" s="705"/>
      <c r="J227" s="705"/>
      <c r="K227" s="705"/>
      <c r="L227" s="705"/>
      <c r="M227" s="705"/>
      <c r="N227" s="705"/>
      <c r="O227" s="705"/>
      <c r="P227" s="705"/>
      <c r="Q227" s="705"/>
      <c r="R227" s="705"/>
    </row>
    <row r="228" spans="1:18" x14ac:dyDescent="0.2">
      <c r="A228" s="705"/>
      <c r="B228" s="705"/>
      <c r="C228" s="705"/>
      <c r="D228" s="705"/>
      <c r="E228" s="705"/>
      <c r="F228" s="705"/>
      <c r="G228" s="705"/>
      <c r="H228" s="705"/>
      <c r="I228" s="705"/>
      <c r="J228" s="705"/>
      <c r="K228" s="705"/>
      <c r="L228" s="705"/>
      <c r="M228" s="705"/>
      <c r="N228" s="705"/>
      <c r="O228" s="705"/>
      <c r="P228" s="705"/>
      <c r="Q228" s="705"/>
      <c r="R228" s="705"/>
    </row>
    <row r="229" spans="1:18" x14ac:dyDescent="0.2">
      <c r="A229" s="705"/>
      <c r="B229" s="705"/>
      <c r="C229" s="705"/>
      <c r="D229" s="705"/>
      <c r="E229" s="705"/>
      <c r="F229" s="705"/>
      <c r="G229" s="705"/>
      <c r="H229" s="705"/>
      <c r="I229" s="705"/>
      <c r="J229" s="705"/>
      <c r="K229" s="705"/>
      <c r="L229" s="705"/>
      <c r="M229" s="705"/>
      <c r="N229" s="705"/>
      <c r="O229" s="705"/>
      <c r="P229" s="705"/>
      <c r="Q229" s="705"/>
      <c r="R229" s="705"/>
    </row>
    <row r="230" spans="1:18" x14ac:dyDescent="0.2">
      <c r="A230" s="705"/>
      <c r="B230" s="705"/>
      <c r="C230" s="705"/>
      <c r="D230" s="705"/>
      <c r="E230" s="705"/>
      <c r="F230" s="705"/>
      <c r="G230" s="705"/>
      <c r="H230" s="705"/>
      <c r="I230" s="705"/>
      <c r="J230" s="705"/>
      <c r="K230" s="705"/>
      <c r="L230" s="705"/>
      <c r="M230" s="705"/>
      <c r="N230" s="705"/>
      <c r="O230" s="705"/>
      <c r="P230" s="705"/>
      <c r="Q230" s="705"/>
      <c r="R230" s="705"/>
    </row>
    <row r="231" spans="1:18" x14ac:dyDescent="0.2">
      <c r="A231" s="705"/>
      <c r="B231" s="705"/>
      <c r="C231" s="705"/>
      <c r="D231" s="705"/>
      <c r="E231" s="705"/>
      <c r="F231" s="705"/>
      <c r="G231" s="705"/>
      <c r="H231" s="705"/>
      <c r="I231" s="705"/>
      <c r="J231" s="705"/>
      <c r="K231" s="705"/>
      <c r="L231" s="705"/>
      <c r="M231" s="705"/>
      <c r="N231" s="705"/>
      <c r="O231" s="705"/>
      <c r="P231" s="705"/>
      <c r="Q231" s="705"/>
      <c r="R231" s="705"/>
    </row>
    <row r="232" spans="1:18" x14ac:dyDescent="0.2">
      <c r="A232" s="705"/>
      <c r="B232" s="705"/>
      <c r="C232" s="705"/>
      <c r="D232" s="705"/>
      <c r="E232" s="705"/>
      <c r="F232" s="705"/>
      <c r="G232" s="705"/>
      <c r="H232" s="705"/>
      <c r="I232" s="705"/>
      <c r="J232" s="705"/>
      <c r="K232" s="705"/>
      <c r="L232" s="705"/>
      <c r="M232" s="705"/>
      <c r="N232" s="705"/>
      <c r="O232" s="705"/>
      <c r="P232" s="705"/>
      <c r="Q232" s="705"/>
      <c r="R232" s="705"/>
    </row>
    <row r="233" spans="1:18" x14ac:dyDescent="0.2">
      <c r="A233" s="705"/>
      <c r="B233" s="705"/>
      <c r="C233" s="705"/>
      <c r="D233" s="705"/>
      <c r="E233" s="705"/>
      <c r="F233" s="705"/>
      <c r="G233" s="705"/>
      <c r="H233" s="705"/>
      <c r="I233" s="705"/>
      <c r="J233" s="705"/>
      <c r="K233" s="705"/>
      <c r="L233" s="705"/>
      <c r="M233" s="705"/>
      <c r="N233" s="705"/>
      <c r="O233" s="705"/>
      <c r="P233" s="705"/>
      <c r="Q233" s="705"/>
      <c r="R233" s="705"/>
    </row>
    <row r="234" spans="1:18" x14ac:dyDescent="0.2">
      <c r="A234" s="705"/>
      <c r="B234" s="705"/>
      <c r="C234" s="705"/>
      <c r="D234" s="705"/>
      <c r="E234" s="705"/>
      <c r="F234" s="705"/>
      <c r="G234" s="705"/>
      <c r="H234" s="705"/>
      <c r="I234" s="705"/>
      <c r="J234" s="705"/>
      <c r="K234" s="705"/>
      <c r="L234" s="705"/>
      <c r="M234" s="705"/>
      <c r="N234" s="705"/>
      <c r="O234" s="705"/>
      <c r="P234" s="705"/>
      <c r="Q234" s="705"/>
      <c r="R234" s="705"/>
    </row>
    <row r="235" spans="1:18" x14ac:dyDescent="0.2">
      <c r="A235" s="705"/>
      <c r="B235" s="705"/>
      <c r="C235" s="705"/>
      <c r="D235" s="705"/>
      <c r="E235" s="705"/>
      <c r="F235" s="705"/>
      <c r="G235" s="705"/>
      <c r="H235" s="705"/>
      <c r="I235" s="705"/>
      <c r="J235" s="705"/>
      <c r="K235" s="705"/>
      <c r="L235" s="705"/>
      <c r="M235" s="705"/>
      <c r="N235" s="705"/>
      <c r="O235" s="705"/>
      <c r="P235" s="705"/>
      <c r="Q235" s="705"/>
      <c r="R235" s="705"/>
    </row>
    <row r="236" spans="1:18" x14ac:dyDescent="0.2">
      <c r="A236" s="705"/>
      <c r="B236" s="705"/>
      <c r="C236" s="705"/>
      <c r="D236" s="705"/>
      <c r="E236" s="705"/>
      <c r="F236" s="705"/>
      <c r="G236" s="705"/>
      <c r="H236" s="705"/>
      <c r="I236" s="705"/>
      <c r="J236" s="705"/>
      <c r="K236" s="705"/>
      <c r="L236" s="705"/>
      <c r="M236" s="705"/>
      <c r="N236" s="705"/>
      <c r="O236" s="705"/>
      <c r="P236" s="705"/>
      <c r="Q236" s="705"/>
      <c r="R236" s="705"/>
    </row>
    <row r="237" spans="1:18" x14ac:dyDescent="0.2">
      <c r="A237" s="705"/>
      <c r="B237" s="705"/>
      <c r="C237" s="705"/>
      <c r="D237" s="705"/>
      <c r="E237" s="705"/>
      <c r="F237" s="705"/>
      <c r="G237" s="705"/>
      <c r="H237" s="705"/>
      <c r="I237" s="705"/>
      <c r="J237" s="705"/>
      <c r="K237" s="705"/>
      <c r="L237" s="705"/>
      <c r="M237" s="705"/>
      <c r="N237" s="705"/>
      <c r="O237" s="705"/>
      <c r="P237" s="705"/>
      <c r="Q237" s="705"/>
      <c r="R237" s="705"/>
    </row>
    <row r="238" spans="1:18" x14ac:dyDescent="0.2">
      <c r="A238" s="705"/>
      <c r="B238" s="705"/>
      <c r="C238" s="705"/>
      <c r="D238" s="705"/>
      <c r="E238" s="705"/>
      <c r="F238" s="705"/>
      <c r="G238" s="705"/>
      <c r="H238" s="705"/>
      <c r="I238" s="705"/>
      <c r="J238" s="705"/>
      <c r="K238" s="705"/>
      <c r="L238" s="705"/>
      <c r="M238" s="705"/>
      <c r="N238" s="705"/>
      <c r="O238" s="705"/>
      <c r="P238" s="705"/>
      <c r="Q238" s="705"/>
      <c r="R238" s="705"/>
    </row>
    <row r="239" spans="1:18" x14ac:dyDescent="0.2">
      <c r="A239" s="705"/>
      <c r="B239" s="705"/>
      <c r="C239" s="705"/>
      <c r="D239" s="705"/>
      <c r="E239" s="705"/>
      <c r="F239" s="705"/>
      <c r="G239" s="705"/>
      <c r="H239" s="705"/>
      <c r="I239" s="705"/>
      <c r="J239" s="705"/>
      <c r="K239" s="705"/>
      <c r="L239" s="705"/>
      <c r="M239" s="705"/>
      <c r="N239" s="705"/>
      <c r="O239" s="705"/>
      <c r="P239" s="705"/>
      <c r="Q239" s="705"/>
      <c r="R239" s="705"/>
    </row>
    <row r="240" spans="1:18" x14ac:dyDescent="0.2">
      <c r="A240" s="705"/>
      <c r="B240" s="705"/>
      <c r="C240" s="705"/>
      <c r="D240" s="705"/>
      <c r="E240" s="705"/>
      <c r="F240" s="705"/>
      <c r="G240" s="705"/>
      <c r="H240" s="705"/>
      <c r="I240" s="705"/>
      <c r="J240" s="705"/>
      <c r="K240" s="705"/>
      <c r="L240" s="705"/>
      <c r="M240" s="705"/>
      <c r="N240" s="705"/>
      <c r="O240" s="705"/>
      <c r="P240" s="705"/>
      <c r="Q240" s="705"/>
      <c r="R240" s="705"/>
    </row>
    <row r="241" spans="1:18" x14ac:dyDescent="0.2">
      <c r="A241" s="705"/>
      <c r="B241" s="705"/>
      <c r="C241" s="705"/>
      <c r="D241" s="705"/>
      <c r="E241" s="705"/>
      <c r="F241" s="705"/>
      <c r="G241" s="705"/>
      <c r="H241" s="705"/>
      <c r="I241" s="705"/>
      <c r="J241" s="705"/>
      <c r="K241" s="705"/>
      <c r="L241" s="705"/>
      <c r="M241" s="705"/>
      <c r="N241" s="705"/>
      <c r="O241" s="705"/>
      <c r="P241" s="705"/>
      <c r="Q241" s="705"/>
      <c r="R241" s="705"/>
    </row>
    <row r="242" spans="1:18" x14ac:dyDescent="0.2">
      <c r="A242" s="705"/>
      <c r="B242" s="705"/>
      <c r="C242" s="705"/>
      <c r="D242" s="705"/>
      <c r="E242" s="705"/>
      <c r="F242" s="705"/>
      <c r="G242" s="705"/>
      <c r="H242" s="705"/>
      <c r="I242" s="705"/>
      <c r="J242" s="705"/>
      <c r="K242" s="705"/>
      <c r="L242" s="705"/>
      <c r="M242" s="705"/>
      <c r="N242" s="705"/>
      <c r="O242" s="705"/>
      <c r="P242" s="705"/>
      <c r="Q242" s="705"/>
      <c r="R242" s="705"/>
    </row>
    <row r="243" spans="1:18" x14ac:dyDescent="0.2">
      <c r="A243" s="705"/>
      <c r="B243" s="705"/>
      <c r="C243" s="705"/>
      <c r="D243" s="705"/>
      <c r="E243" s="705"/>
      <c r="F243" s="705"/>
      <c r="G243" s="705"/>
      <c r="H243" s="705"/>
      <c r="I243" s="705"/>
      <c r="J243" s="705"/>
      <c r="K243" s="705"/>
      <c r="L243" s="705"/>
      <c r="M243" s="705"/>
      <c r="N243" s="705"/>
      <c r="O243" s="705"/>
      <c r="P243" s="705"/>
      <c r="Q243" s="705"/>
      <c r="R243" s="705"/>
    </row>
    <row r="244" spans="1:18" x14ac:dyDescent="0.2">
      <c r="A244" s="705"/>
      <c r="B244" s="705"/>
      <c r="C244" s="705"/>
      <c r="D244" s="705"/>
      <c r="E244" s="705"/>
      <c r="F244" s="705"/>
      <c r="G244" s="705"/>
      <c r="H244" s="705"/>
      <c r="I244" s="705"/>
      <c r="J244" s="705"/>
      <c r="K244" s="705"/>
      <c r="L244" s="705"/>
      <c r="M244" s="705"/>
      <c r="N244" s="705"/>
      <c r="O244" s="705"/>
      <c r="P244" s="705"/>
      <c r="Q244" s="705"/>
      <c r="R244" s="705"/>
    </row>
    <row r="245" spans="1:18" x14ac:dyDescent="0.2">
      <c r="A245" s="705"/>
      <c r="B245" s="705"/>
      <c r="C245" s="705"/>
      <c r="D245" s="705"/>
      <c r="E245" s="705"/>
      <c r="F245" s="705"/>
      <c r="G245" s="705"/>
      <c r="H245" s="705"/>
      <c r="I245" s="705"/>
      <c r="J245" s="705"/>
      <c r="K245" s="705"/>
      <c r="L245" s="705"/>
      <c r="M245" s="705"/>
      <c r="N245" s="705"/>
      <c r="O245" s="705"/>
      <c r="P245" s="705"/>
      <c r="Q245" s="705"/>
      <c r="R245" s="705"/>
    </row>
    <row r="246" spans="1:18" x14ac:dyDescent="0.2">
      <c r="A246" s="705"/>
      <c r="B246" s="705"/>
      <c r="C246" s="705"/>
      <c r="D246" s="705"/>
      <c r="E246" s="705"/>
      <c r="F246" s="705"/>
      <c r="G246" s="705"/>
      <c r="H246" s="705"/>
      <c r="I246" s="705"/>
      <c r="J246" s="705"/>
      <c r="K246" s="705"/>
      <c r="L246" s="705"/>
      <c r="M246" s="705"/>
      <c r="N246" s="705"/>
      <c r="O246" s="705"/>
      <c r="P246" s="705"/>
      <c r="Q246" s="705"/>
      <c r="R246" s="705"/>
    </row>
    <row r="247" spans="1:18" x14ac:dyDescent="0.2">
      <c r="A247" s="705"/>
      <c r="B247" s="705"/>
      <c r="C247" s="705"/>
      <c r="D247" s="705"/>
      <c r="E247" s="705"/>
      <c r="F247" s="705"/>
      <c r="G247" s="705"/>
      <c r="H247" s="705"/>
      <c r="I247" s="705"/>
      <c r="J247" s="705"/>
      <c r="K247" s="705"/>
      <c r="L247" s="705"/>
      <c r="M247" s="705"/>
      <c r="N247" s="705"/>
      <c r="O247" s="705"/>
      <c r="P247" s="705"/>
      <c r="Q247" s="705"/>
      <c r="R247" s="705"/>
    </row>
    <row r="248" spans="1:18" x14ac:dyDescent="0.2">
      <c r="A248" s="705"/>
      <c r="B248" s="705"/>
      <c r="C248" s="705"/>
      <c r="D248" s="705"/>
      <c r="E248" s="705"/>
      <c r="F248" s="705"/>
      <c r="G248" s="705"/>
      <c r="H248" s="705"/>
      <c r="I248" s="705"/>
      <c r="J248" s="705"/>
      <c r="K248" s="705"/>
      <c r="L248" s="705"/>
      <c r="M248" s="705"/>
      <c r="N248" s="705"/>
      <c r="O248" s="705"/>
      <c r="P248" s="705"/>
      <c r="Q248" s="705"/>
      <c r="R248" s="705"/>
    </row>
    <row r="249" spans="1:18" x14ac:dyDescent="0.2">
      <c r="A249" s="705"/>
      <c r="B249" s="705"/>
      <c r="C249" s="705"/>
      <c r="D249" s="705"/>
      <c r="E249" s="705"/>
      <c r="F249" s="705"/>
      <c r="G249" s="705"/>
      <c r="H249" s="705"/>
      <c r="I249" s="705"/>
      <c r="J249" s="705"/>
      <c r="K249" s="705"/>
      <c r="L249" s="705"/>
      <c r="M249" s="705"/>
      <c r="N249" s="705"/>
      <c r="O249" s="705"/>
      <c r="P249" s="705"/>
      <c r="Q249" s="705"/>
      <c r="R249" s="705"/>
    </row>
    <row r="250" spans="1:18" x14ac:dyDescent="0.2">
      <c r="A250" s="705"/>
      <c r="B250" s="705"/>
      <c r="C250" s="705"/>
      <c r="D250" s="705"/>
      <c r="E250" s="705"/>
      <c r="F250" s="705"/>
      <c r="G250" s="705"/>
      <c r="H250" s="705"/>
      <c r="I250" s="705"/>
      <c r="J250" s="705"/>
      <c r="K250" s="705"/>
      <c r="L250" s="705"/>
      <c r="M250" s="705"/>
      <c r="N250" s="705"/>
      <c r="O250" s="705"/>
      <c r="P250" s="705"/>
      <c r="Q250" s="705"/>
      <c r="R250" s="705"/>
    </row>
    <row r="251" spans="1:18" x14ac:dyDescent="0.2">
      <c r="A251" s="705"/>
      <c r="B251" s="705"/>
      <c r="C251" s="705"/>
      <c r="D251" s="705"/>
      <c r="E251" s="705"/>
      <c r="F251" s="705"/>
      <c r="G251" s="705"/>
      <c r="H251" s="705"/>
      <c r="I251" s="705"/>
      <c r="J251" s="705"/>
      <c r="K251" s="705"/>
      <c r="L251" s="705"/>
      <c r="M251" s="705"/>
      <c r="N251" s="705"/>
      <c r="O251" s="705"/>
      <c r="P251" s="705"/>
      <c r="Q251" s="705"/>
      <c r="R251" s="705"/>
    </row>
    <row r="252" spans="1:18" x14ac:dyDescent="0.2">
      <c r="A252" s="705"/>
      <c r="B252" s="705"/>
      <c r="C252" s="705"/>
      <c r="D252" s="705"/>
      <c r="E252" s="705"/>
      <c r="F252" s="705"/>
      <c r="G252" s="705"/>
      <c r="H252" s="705"/>
      <c r="I252" s="705"/>
      <c r="J252" s="705"/>
      <c r="K252" s="705"/>
      <c r="L252" s="705"/>
      <c r="M252" s="705"/>
      <c r="N252" s="705"/>
      <c r="O252" s="705"/>
      <c r="P252" s="705"/>
      <c r="Q252" s="705"/>
      <c r="R252" s="705"/>
    </row>
    <row r="253" spans="1:18" x14ac:dyDescent="0.2">
      <c r="A253" s="705"/>
      <c r="B253" s="705"/>
      <c r="C253" s="705"/>
      <c r="D253" s="705"/>
      <c r="E253" s="705"/>
      <c r="F253" s="705"/>
      <c r="G253" s="705"/>
      <c r="H253" s="705"/>
      <c r="I253" s="705"/>
      <c r="J253" s="705"/>
      <c r="K253" s="705"/>
      <c r="L253" s="705"/>
      <c r="M253" s="705"/>
      <c r="N253" s="705"/>
      <c r="O253" s="705"/>
      <c r="P253" s="705"/>
      <c r="Q253" s="705"/>
      <c r="R253" s="705"/>
    </row>
    <row r="254" spans="1:18" x14ac:dyDescent="0.2">
      <c r="A254" s="705"/>
      <c r="B254" s="705"/>
      <c r="C254" s="705"/>
      <c r="D254" s="705"/>
      <c r="E254" s="705"/>
      <c r="F254" s="705"/>
      <c r="G254" s="705"/>
      <c r="H254" s="705"/>
      <c r="I254" s="705"/>
      <c r="J254" s="705"/>
      <c r="K254" s="705"/>
      <c r="L254" s="705"/>
      <c r="M254" s="705"/>
      <c r="N254" s="705"/>
      <c r="O254" s="705"/>
      <c r="P254" s="705"/>
      <c r="Q254" s="705"/>
      <c r="R254" s="705"/>
    </row>
    <row r="255" spans="1:18" x14ac:dyDescent="0.2">
      <c r="A255" s="705"/>
      <c r="B255" s="705"/>
      <c r="C255" s="705"/>
      <c r="D255" s="705"/>
      <c r="E255" s="705"/>
      <c r="F255" s="705"/>
      <c r="G255" s="705"/>
      <c r="H255" s="705"/>
      <c r="I255" s="705"/>
      <c r="J255" s="705"/>
      <c r="K255" s="705"/>
      <c r="L255" s="705"/>
      <c r="M255" s="705"/>
      <c r="N255" s="705"/>
      <c r="O255" s="705"/>
      <c r="P255" s="705"/>
      <c r="Q255" s="705"/>
      <c r="R255" s="705"/>
    </row>
    <row r="256" spans="1:18" x14ac:dyDescent="0.2">
      <c r="A256" s="705"/>
      <c r="B256" s="705"/>
      <c r="C256" s="705"/>
      <c r="D256" s="705"/>
      <c r="E256" s="705"/>
      <c r="F256" s="705"/>
      <c r="G256" s="705"/>
      <c r="H256" s="705"/>
      <c r="I256" s="705"/>
      <c r="J256" s="705"/>
      <c r="K256" s="705"/>
      <c r="L256" s="705"/>
      <c r="M256" s="705"/>
      <c r="N256" s="705"/>
      <c r="O256" s="705"/>
      <c r="P256" s="705"/>
      <c r="Q256" s="705"/>
      <c r="R256" s="705"/>
    </row>
    <row r="257" spans="1:18" x14ac:dyDescent="0.2">
      <c r="A257" s="705"/>
      <c r="B257" s="705"/>
      <c r="C257" s="705"/>
      <c r="D257" s="705"/>
      <c r="E257" s="705"/>
      <c r="F257" s="705"/>
      <c r="G257" s="705"/>
      <c r="H257" s="705"/>
      <c r="I257" s="705"/>
      <c r="J257" s="705"/>
      <c r="K257" s="705"/>
      <c r="L257" s="705"/>
      <c r="M257" s="705"/>
      <c r="N257" s="705"/>
      <c r="O257" s="705"/>
      <c r="P257" s="705"/>
      <c r="Q257" s="705"/>
      <c r="R257" s="705"/>
    </row>
    <row r="258" spans="1:18" x14ac:dyDescent="0.2">
      <c r="A258" s="705"/>
      <c r="B258" s="705"/>
      <c r="C258" s="705"/>
      <c r="D258" s="705"/>
      <c r="E258" s="705"/>
      <c r="F258" s="705"/>
      <c r="G258" s="705"/>
      <c r="H258" s="705"/>
      <c r="I258" s="705"/>
      <c r="J258" s="705"/>
      <c r="K258" s="705"/>
      <c r="L258" s="705"/>
      <c r="M258" s="705"/>
      <c r="N258" s="705"/>
      <c r="O258" s="705"/>
      <c r="P258" s="705"/>
      <c r="Q258" s="705"/>
      <c r="R258" s="705"/>
    </row>
    <row r="259" spans="1:18" x14ac:dyDescent="0.2">
      <c r="A259" s="705"/>
      <c r="B259" s="705"/>
      <c r="C259" s="705"/>
      <c r="D259" s="705"/>
      <c r="E259" s="705"/>
      <c r="F259" s="705"/>
      <c r="G259" s="705"/>
      <c r="H259" s="705"/>
      <c r="I259" s="705"/>
      <c r="J259" s="705"/>
      <c r="K259" s="705"/>
      <c r="L259" s="705"/>
      <c r="M259" s="705"/>
      <c r="N259" s="705"/>
      <c r="O259" s="705"/>
      <c r="P259" s="705"/>
      <c r="Q259" s="705"/>
      <c r="R259" s="705"/>
    </row>
    <row r="260" spans="1:18" x14ac:dyDescent="0.2">
      <c r="A260" s="705"/>
      <c r="B260" s="705"/>
      <c r="C260" s="705"/>
      <c r="D260" s="705"/>
      <c r="E260" s="705"/>
      <c r="F260" s="705"/>
      <c r="G260" s="705"/>
      <c r="H260" s="705"/>
      <c r="I260" s="705"/>
      <c r="J260" s="705"/>
      <c r="K260" s="705"/>
      <c r="L260" s="705"/>
      <c r="M260" s="705"/>
      <c r="N260" s="705"/>
      <c r="O260" s="705"/>
      <c r="P260" s="705"/>
      <c r="Q260" s="705"/>
      <c r="R260" s="705"/>
    </row>
    <row r="261" spans="1:18" x14ac:dyDescent="0.2">
      <c r="A261" s="705"/>
      <c r="B261" s="705"/>
      <c r="C261" s="705"/>
      <c r="D261" s="705"/>
      <c r="E261" s="705"/>
      <c r="F261" s="705"/>
      <c r="G261" s="705"/>
      <c r="H261" s="705"/>
      <c r="I261" s="705"/>
      <c r="J261" s="705"/>
      <c r="K261" s="705"/>
      <c r="L261" s="705"/>
      <c r="M261" s="705"/>
      <c r="N261" s="705"/>
      <c r="O261" s="705"/>
      <c r="P261" s="705"/>
      <c r="Q261" s="705"/>
      <c r="R261" s="705"/>
    </row>
    <row r="262" spans="1:18" x14ac:dyDescent="0.2">
      <c r="A262" s="705"/>
      <c r="B262" s="705"/>
      <c r="C262" s="705"/>
      <c r="D262" s="705"/>
      <c r="E262" s="705"/>
      <c r="F262" s="705"/>
      <c r="G262" s="705"/>
      <c r="H262" s="705"/>
      <c r="I262" s="705"/>
      <c r="J262" s="705"/>
      <c r="K262" s="705"/>
      <c r="L262" s="705"/>
      <c r="M262" s="705"/>
      <c r="N262" s="705"/>
      <c r="O262" s="705"/>
      <c r="P262" s="705"/>
      <c r="Q262" s="705"/>
      <c r="R262" s="705"/>
    </row>
    <row r="263" spans="1:18" x14ac:dyDescent="0.2">
      <c r="A263" s="705"/>
      <c r="B263" s="705"/>
      <c r="C263" s="705"/>
      <c r="D263" s="705"/>
      <c r="E263" s="705"/>
      <c r="F263" s="705"/>
      <c r="G263" s="705"/>
      <c r="H263" s="705"/>
      <c r="I263" s="705"/>
      <c r="J263" s="705"/>
      <c r="K263" s="705"/>
      <c r="L263" s="705"/>
      <c r="M263" s="705"/>
      <c r="N263" s="705"/>
      <c r="O263" s="705"/>
      <c r="P263" s="705"/>
      <c r="Q263" s="705"/>
      <c r="R263" s="705"/>
    </row>
    <row r="264" spans="1:18" x14ac:dyDescent="0.2">
      <c r="A264" s="705"/>
      <c r="B264" s="705"/>
      <c r="C264" s="705"/>
      <c r="D264" s="705"/>
      <c r="E264" s="705"/>
      <c r="F264" s="705"/>
      <c r="G264" s="705"/>
      <c r="H264" s="705"/>
      <c r="I264" s="705"/>
      <c r="J264" s="705"/>
      <c r="K264" s="705"/>
      <c r="L264" s="705"/>
      <c r="M264" s="705"/>
      <c r="N264" s="705"/>
      <c r="O264" s="705"/>
      <c r="P264" s="705"/>
      <c r="Q264" s="705"/>
      <c r="R264" s="705"/>
    </row>
    <row r="265" spans="1:18" x14ac:dyDescent="0.2">
      <c r="A265" s="705"/>
      <c r="B265" s="705"/>
      <c r="C265" s="705"/>
      <c r="D265" s="705"/>
      <c r="E265" s="705"/>
      <c r="F265" s="705"/>
      <c r="G265" s="705"/>
      <c r="H265" s="705"/>
      <c r="I265" s="705"/>
      <c r="J265" s="705"/>
      <c r="K265" s="705"/>
      <c r="L265" s="705"/>
      <c r="M265" s="705"/>
      <c r="N265" s="705"/>
      <c r="O265" s="705"/>
      <c r="P265" s="705"/>
      <c r="Q265" s="705"/>
      <c r="R265" s="705"/>
    </row>
    <row r="266" spans="1:18" x14ac:dyDescent="0.2">
      <c r="A266" s="705"/>
      <c r="B266" s="705"/>
      <c r="C266" s="705"/>
      <c r="D266" s="705"/>
      <c r="E266" s="705"/>
      <c r="F266" s="705"/>
      <c r="G266" s="705"/>
      <c r="H266" s="705"/>
      <c r="I266" s="705"/>
      <c r="J266" s="705"/>
      <c r="K266" s="705"/>
      <c r="L266" s="705"/>
      <c r="M266" s="705"/>
      <c r="N266" s="705"/>
      <c r="O266" s="705"/>
      <c r="P266" s="705"/>
      <c r="Q266" s="705"/>
      <c r="R266" s="705"/>
    </row>
    <row r="267" spans="1:18" x14ac:dyDescent="0.2">
      <c r="A267" s="705"/>
      <c r="B267" s="705"/>
      <c r="C267" s="705"/>
      <c r="D267" s="705"/>
      <c r="E267" s="705"/>
      <c r="F267" s="705"/>
      <c r="G267" s="705"/>
      <c r="H267" s="705"/>
      <c r="I267" s="705"/>
      <c r="J267" s="705"/>
      <c r="K267" s="705"/>
      <c r="L267" s="705"/>
      <c r="M267" s="705"/>
      <c r="N267" s="705"/>
      <c r="O267" s="705"/>
      <c r="P267" s="705"/>
      <c r="Q267" s="705"/>
      <c r="R267" s="705"/>
    </row>
    <row r="268" spans="1:18" x14ac:dyDescent="0.2">
      <c r="A268" s="705"/>
      <c r="B268" s="705"/>
      <c r="C268" s="705"/>
      <c r="D268" s="705"/>
      <c r="E268" s="705"/>
      <c r="F268" s="705"/>
      <c r="G268" s="705"/>
      <c r="H268" s="705"/>
      <c r="I268" s="705"/>
      <c r="J268" s="705"/>
      <c r="K268" s="705"/>
      <c r="L268" s="705"/>
      <c r="M268" s="705"/>
      <c r="N268" s="705"/>
      <c r="O268" s="705"/>
      <c r="P268" s="705"/>
      <c r="Q268" s="705"/>
      <c r="R268" s="705"/>
    </row>
    <row r="269" spans="1:18" x14ac:dyDescent="0.2">
      <c r="A269" s="705"/>
      <c r="B269" s="705"/>
      <c r="C269" s="705"/>
      <c r="D269" s="705"/>
      <c r="E269" s="705"/>
      <c r="F269" s="705"/>
      <c r="G269" s="705"/>
      <c r="H269" s="705"/>
      <c r="I269" s="705"/>
      <c r="J269" s="705"/>
      <c r="K269" s="705"/>
      <c r="L269" s="705"/>
      <c r="M269" s="705"/>
      <c r="N269" s="705"/>
      <c r="O269" s="705"/>
      <c r="P269" s="705"/>
      <c r="Q269" s="705"/>
      <c r="R269" s="705"/>
    </row>
    <row r="270" spans="1:18" x14ac:dyDescent="0.2">
      <c r="A270" s="705"/>
      <c r="B270" s="705"/>
      <c r="C270" s="705"/>
      <c r="D270" s="705"/>
      <c r="E270" s="705"/>
      <c r="F270" s="705"/>
      <c r="G270" s="705"/>
      <c r="H270" s="705"/>
      <c r="I270" s="705"/>
      <c r="J270" s="705"/>
      <c r="K270" s="705"/>
      <c r="L270" s="705"/>
      <c r="M270" s="705"/>
      <c r="N270" s="705"/>
      <c r="O270" s="705"/>
      <c r="P270" s="705"/>
      <c r="Q270" s="705"/>
      <c r="R270" s="705"/>
    </row>
    <row r="271" spans="1:18" x14ac:dyDescent="0.2">
      <c r="A271" s="705"/>
      <c r="B271" s="705"/>
      <c r="C271" s="705"/>
      <c r="D271" s="705"/>
      <c r="E271" s="705"/>
      <c r="F271" s="705"/>
      <c r="G271" s="705"/>
      <c r="H271" s="705"/>
      <c r="I271" s="705"/>
      <c r="J271" s="705"/>
      <c r="K271" s="705"/>
      <c r="L271" s="705"/>
      <c r="M271" s="705"/>
      <c r="N271" s="705"/>
      <c r="O271" s="705"/>
      <c r="P271" s="705"/>
      <c r="Q271" s="705"/>
      <c r="R271" s="705"/>
    </row>
    <row r="272" spans="1:18" x14ac:dyDescent="0.2">
      <c r="A272" s="705"/>
      <c r="B272" s="705"/>
      <c r="C272" s="705"/>
      <c r="D272" s="705"/>
      <c r="E272" s="705"/>
      <c r="F272" s="705"/>
      <c r="G272" s="705"/>
      <c r="H272" s="705"/>
      <c r="I272" s="705"/>
      <c r="J272" s="705"/>
      <c r="K272" s="705"/>
      <c r="L272" s="705"/>
      <c r="M272" s="705"/>
      <c r="N272" s="705"/>
      <c r="O272" s="705"/>
      <c r="P272" s="705"/>
      <c r="Q272" s="705"/>
      <c r="R272" s="705"/>
    </row>
    <row r="273" spans="1:18" x14ac:dyDescent="0.2">
      <c r="A273" s="705"/>
      <c r="B273" s="705"/>
      <c r="C273" s="705"/>
      <c r="D273" s="705"/>
      <c r="E273" s="705"/>
      <c r="F273" s="705"/>
      <c r="G273" s="705"/>
      <c r="H273" s="705"/>
      <c r="I273" s="705"/>
      <c r="J273" s="705"/>
      <c r="K273" s="705"/>
      <c r="L273" s="705"/>
      <c r="M273" s="705"/>
      <c r="N273" s="705"/>
      <c r="O273" s="705"/>
      <c r="P273" s="705"/>
      <c r="Q273" s="705"/>
      <c r="R273" s="705"/>
    </row>
    <row r="274" spans="1:18" x14ac:dyDescent="0.2">
      <c r="A274" s="705"/>
      <c r="B274" s="705"/>
      <c r="C274" s="705"/>
      <c r="D274" s="705"/>
      <c r="E274" s="705"/>
      <c r="F274" s="705"/>
      <c r="G274" s="705"/>
      <c r="H274" s="705"/>
      <c r="I274" s="705"/>
      <c r="J274" s="705"/>
      <c r="K274" s="705"/>
      <c r="L274" s="705"/>
      <c r="M274" s="705"/>
      <c r="N274" s="705"/>
      <c r="O274" s="705"/>
      <c r="P274" s="705"/>
      <c r="Q274" s="705"/>
      <c r="R274" s="705"/>
    </row>
    <row r="275" spans="1:18" x14ac:dyDescent="0.2">
      <c r="A275" s="705"/>
      <c r="B275" s="705"/>
      <c r="C275" s="705"/>
      <c r="D275" s="705"/>
      <c r="E275" s="705"/>
      <c r="F275" s="705"/>
      <c r="G275" s="705"/>
      <c r="H275" s="705"/>
      <c r="I275" s="705"/>
      <c r="J275" s="705"/>
      <c r="K275" s="705"/>
      <c r="L275" s="705"/>
      <c r="M275" s="705"/>
      <c r="N275" s="705"/>
      <c r="O275" s="705"/>
      <c r="P275" s="705"/>
      <c r="Q275" s="705"/>
      <c r="R275" s="705"/>
    </row>
    <row r="276" spans="1:18" x14ac:dyDescent="0.2">
      <c r="A276" s="705"/>
      <c r="B276" s="705"/>
      <c r="C276" s="705"/>
      <c r="D276" s="705"/>
      <c r="E276" s="705"/>
      <c r="F276" s="705"/>
      <c r="G276" s="705"/>
      <c r="H276" s="705"/>
      <c r="I276" s="705"/>
      <c r="J276" s="705"/>
      <c r="K276" s="705"/>
      <c r="L276" s="705"/>
      <c r="M276" s="705"/>
      <c r="N276" s="705"/>
      <c r="O276" s="705"/>
      <c r="P276" s="705"/>
      <c r="Q276" s="705"/>
      <c r="R276" s="705"/>
    </row>
    <row r="277" spans="1:18" x14ac:dyDescent="0.2">
      <c r="A277" s="705"/>
      <c r="B277" s="705"/>
      <c r="C277" s="705"/>
      <c r="D277" s="705"/>
      <c r="E277" s="705"/>
      <c r="F277" s="705"/>
      <c r="G277" s="705"/>
      <c r="H277" s="705"/>
      <c r="I277" s="705"/>
      <c r="J277" s="705"/>
      <c r="K277" s="705"/>
      <c r="L277" s="705"/>
      <c r="M277" s="705"/>
      <c r="N277" s="705"/>
      <c r="O277" s="705"/>
      <c r="P277" s="705"/>
      <c r="Q277" s="705"/>
      <c r="R277" s="705"/>
    </row>
    <row r="278" spans="1:18" x14ac:dyDescent="0.2">
      <c r="A278" s="705"/>
      <c r="B278" s="705"/>
      <c r="C278" s="705"/>
      <c r="D278" s="705"/>
      <c r="E278" s="705"/>
      <c r="F278" s="705"/>
      <c r="G278" s="705"/>
      <c r="H278" s="705"/>
      <c r="I278" s="705"/>
      <c r="J278" s="705"/>
      <c r="K278" s="705"/>
      <c r="L278" s="705"/>
      <c r="M278" s="705"/>
      <c r="N278" s="705"/>
      <c r="O278" s="705"/>
      <c r="P278" s="705"/>
      <c r="Q278" s="705"/>
      <c r="R278" s="705"/>
    </row>
    <row r="279" spans="1:18" x14ac:dyDescent="0.2">
      <c r="A279" s="705"/>
      <c r="B279" s="705"/>
      <c r="C279" s="705"/>
      <c r="D279" s="705"/>
      <c r="E279" s="705"/>
      <c r="F279" s="705"/>
      <c r="G279" s="705"/>
      <c r="H279" s="705"/>
      <c r="I279" s="705"/>
      <c r="J279" s="705"/>
      <c r="K279" s="705"/>
      <c r="L279" s="705"/>
      <c r="M279" s="705"/>
      <c r="N279" s="705"/>
      <c r="O279" s="705"/>
      <c r="P279" s="705"/>
      <c r="Q279" s="705"/>
      <c r="R279" s="705"/>
    </row>
    <row r="280" spans="1:18" x14ac:dyDescent="0.2">
      <c r="A280" s="705"/>
      <c r="B280" s="705"/>
      <c r="C280" s="705"/>
      <c r="D280" s="705"/>
      <c r="E280" s="705"/>
      <c r="F280" s="705"/>
      <c r="G280" s="705"/>
      <c r="H280" s="705"/>
      <c r="I280" s="705"/>
      <c r="J280" s="705"/>
      <c r="K280" s="705"/>
      <c r="L280" s="705"/>
      <c r="M280" s="705"/>
      <c r="N280" s="705"/>
      <c r="O280" s="705"/>
      <c r="P280" s="705"/>
      <c r="Q280" s="705"/>
      <c r="R280" s="705"/>
    </row>
    <row r="281" spans="1:18" x14ac:dyDescent="0.2">
      <c r="A281" s="705"/>
      <c r="B281" s="705"/>
      <c r="C281" s="705"/>
      <c r="D281" s="705"/>
      <c r="E281" s="705"/>
      <c r="F281" s="705"/>
      <c r="G281" s="705"/>
      <c r="H281" s="705"/>
      <c r="I281" s="705"/>
      <c r="J281" s="705"/>
      <c r="K281" s="705"/>
      <c r="L281" s="705"/>
      <c r="M281" s="705"/>
      <c r="N281" s="705"/>
      <c r="O281" s="705"/>
      <c r="P281" s="705"/>
      <c r="Q281" s="705"/>
      <c r="R281" s="705"/>
    </row>
    <row r="282" spans="1:18" x14ac:dyDescent="0.2">
      <c r="A282" s="705"/>
      <c r="B282" s="705"/>
      <c r="C282" s="705"/>
      <c r="D282" s="705"/>
      <c r="E282" s="705"/>
      <c r="F282" s="705"/>
      <c r="G282" s="705"/>
      <c r="H282" s="705"/>
      <c r="I282" s="705"/>
      <c r="J282" s="705"/>
      <c r="K282" s="705"/>
      <c r="L282" s="705"/>
      <c r="M282" s="705"/>
      <c r="N282" s="705"/>
      <c r="O282" s="705"/>
      <c r="P282" s="705"/>
      <c r="Q282" s="705"/>
      <c r="R282" s="705"/>
    </row>
    <row r="283" spans="1:18" x14ac:dyDescent="0.2">
      <c r="A283" s="705"/>
      <c r="B283" s="705"/>
      <c r="C283" s="705"/>
      <c r="D283" s="705"/>
      <c r="E283" s="705"/>
      <c r="F283" s="705"/>
      <c r="G283" s="705"/>
      <c r="H283" s="705"/>
      <c r="I283" s="705"/>
      <c r="J283" s="705"/>
      <c r="K283" s="705"/>
      <c r="L283" s="705"/>
      <c r="M283" s="705"/>
      <c r="N283" s="705"/>
      <c r="O283" s="705"/>
      <c r="P283" s="705"/>
      <c r="Q283" s="705"/>
      <c r="R283" s="705"/>
    </row>
    <row r="284" spans="1:18" x14ac:dyDescent="0.2">
      <c r="A284" s="705"/>
      <c r="B284" s="705"/>
      <c r="C284" s="705"/>
      <c r="D284" s="705"/>
      <c r="E284" s="705"/>
      <c r="F284" s="705"/>
      <c r="G284" s="705"/>
      <c r="H284" s="705"/>
      <c r="I284" s="705"/>
      <c r="J284" s="705"/>
      <c r="K284" s="705"/>
      <c r="L284" s="705"/>
      <c r="M284" s="705"/>
      <c r="N284" s="705"/>
      <c r="O284" s="705"/>
      <c r="P284" s="705"/>
      <c r="Q284" s="705"/>
      <c r="R284" s="705"/>
    </row>
    <row r="285" spans="1:18" x14ac:dyDescent="0.2">
      <c r="A285" s="705"/>
      <c r="B285" s="705"/>
      <c r="C285" s="705"/>
      <c r="D285" s="705"/>
      <c r="E285" s="705"/>
      <c r="F285" s="705"/>
      <c r="G285" s="705"/>
      <c r="H285" s="705"/>
      <c r="I285" s="705"/>
      <c r="J285" s="705"/>
      <c r="K285" s="705"/>
      <c r="L285" s="705"/>
      <c r="M285" s="705"/>
      <c r="N285" s="705"/>
      <c r="O285" s="705"/>
      <c r="P285" s="705"/>
      <c r="Q285" s="705"/>
      <c r="R285" s="705"/>
    </row>
    <row r="286" spans="1:18" x14ac:dyDescent="0.2">
      <c r="A286" s="705"/>
      <c r="B286" s="705"/>
      <c r="C286" s="705"/>
      <c r="D286" s="705"/>
      <c r="E286" s="705"/>
      <c r="F286" s="705"/>
      <c r="G286" s="705"/>
      <c r="H286" s="705"/>
      <c r="I286" s="705"/>
      <c r="J286" s="705"/>
      <c r="K286" s="705"/>
      <c r="L286" s="705"/>
      <c r="M286" s="705"/>
      <c r="N286" s="705"/>
      <c r="O286" s="705"/>
      <c r="P286" s="705"/>
      <c r="Q286" s="705"/>
      <c r="R286" s="705"/>
    </row>
    <row r="287" spans="1:18" x14ac:dyDescent="0.2">
      <c r="A287" s="710"/>
      <c r="B287" s="710"/>
      <c r="C287" s="710"/>
      <c r="D287" s="710"/>
      <c r="E287" s="710"/>
      <c r="F287" s="710"/>
      <c r="G287" s="710"/>
      <c r="H287" s="710"/>
      <c r="I287" s="710"/>
      <c r="J287" s="710"/>
      <c r="K287" s="710"/>
      <c r="L287" s="710"/>
      <c r="M287" s="710"/>
      <c r="N287" s="710"/>
      <c r="O287" s="710"/>
      <c r="P287" s="710"/>
      <c r="Q287" s="710"/>
      <c r="R287" s="710"/>
    </row>
    <row r="288" spans="1:18" x14ac:dyDescent="0.2">
      <c r="A288" s="710"/>
      <c r="B288" s="710"/>
      <c r="C288" s="710"/>
      <c r="D288" s="710"/>
      <c r="E288" s="710"/>
      <c r="F288" s="710"/>
      <c r="G288" s="710"/>
      <c r="H288" s="710"/>
      <c r="I288" s="710"/>
      <c r="J288" s="710"/>
      <c r="K288" s="710"/>
      <c r="L288" s="710"/>
      <c r="M288" s="710"/>
      <c r="N288" s="710"/>
      <c r="O288" s="710"/>
      <c r="P288" s="710"/>
      <c r="Q288" s="710"/>
      <c r="R288" s="710"/>
    </row>
    <row r="289" spans="1:18" x14ac:dyDescent="0.2">
      <c r="A289" s="710"/>
      <c r="B289" s="710"/>
      <c r="C289" s="710"/>
      <c r="D289" s="710"/>
      <c r="E289" s="710"/>
      <c r="F289" s="710"/>
      <c r="G289" s="710"/>
      <c r="H289" s="710"/>
      <c r="I289" s="710"/>
      <c r="J289" s="710"/>
      <c r="K289" s="710"/>
      <c r="L289" s="710"/>
      <c r="M289" s="710"/>
      <c r="N289" s="710"/>
      <c r="O289" s="710"/>
      <c r="P289" s="710"/>
      <c r="Q289" s="710"/>
      <c r="R289" s="710"/>
    </row>
    <row r="290" spans="1:18" x14ac:dyDescent="0.2">
      <c r="A290" s="710"/>
      <c r="B290" s="710"/>
      <c r="C290" s="710"/>
      <c r="D290" s="710"/>
      <c r="E290" s="710"/>
      <c r="F290" s="710"/>
      <c r="G290" s="710"/>
      <c r="H290" s="710"/>
      <c r="I290" s="710"/>
      <c r="J290" s="710"/>
      <c r="K290" s="710"/>
      <c r="L290" s="710"/>
      <c r="M290" s="710"/>
      <c r="N290" s="710"/>
      <c r="O290" s="710"/>
      <c r="P290" s="710"/>
      <c r="Q290" s="710"/>
      <c r="R290" s="710"/>
    </row>
    <row r="291" spans="1:18" x14ac:dyDescent="0.2">
      <c r="A291" s="710"/>
      <c r="B291" s="710"/>
      <c r="C291" s="710"/>
      <c r="D291" s="710"/>
      <c r="E291" s="710"/>
      <c r="F291" s="710"/>
      <c r="G291" s="710"/>
      <c r="H291" s="710"/>
      <c r="I291" s="710"/>
      <c r="J291" s="710"/>
      <c r="K291" s="710"/>
      <c r="L291" s="710"/>
      <c r="M291" s="710"/>
      <c r="N291" s="710"/>
      <c r="O291" s="710"/>
      <c r="P291" s="710"/>
      <c r="Q291" s="710"/>
      <c r="R291" s="710"/>
    </row>
    <row r="292" spans="1:18" x14ac:dyDescent="0.2">
      <c r="A292" s="710"/>
      <c r="B292" s="710"/>
      <c r="C292" s="710"/>
      <c r="D292" s="710"/>
      <c r="E292" s="710"/>
      <c r="F292" s="710"/>
      <c r="G292" s="710"/>
      <c r="H292" s="710"/>
      <c r="I292" s="710"/>
      <c r="J292" s="710"/>
      <c r="K292" s="710"/>
      <c r="L292" s="710"/>
      <c r="M292" s="710"/>
      <c r="N292" s="710"/>
      <c r="O292" s="710"/>
      <c r="P292" s="710"/>
      <c r="Q292" s="710"/>
      <c r="R292" s="710"/>
    </row>
    <row r="293" spans="1:18" x14ac:dyDescent="0.2">
      <c r="A293" s="710"/>
      <c r="B293" s="710"/>
      <c r="C293" s="710"/>
      <c r="D293" s="710"/>
      <c r="E293" s="710"/>
      <c r="F293" s="710"/>
      <c r="G293" s="710"/>
      <c r="H293" s="710"/>
      <c r="I293" s="710"/>
      <c r="J293" s="710"/>
      <c r="K293" s="710"/>
      <c r="L293" s="710"/>
      <c r="M293" s="710"/>
      <c r="N293" s="710"/>
      <c r="O293" s="710"/>
      <c r="P293" s="710"/>
      <c r="Q293" s="710"/>
      <c r="R293" s="710"/>
    </row>
    <row r="294" spans="1:18" x14ac:dyDescent="0.2">
      <c r="A294" s="710"/>
      <c r="B294" s="710"/>
      <c r="C294" s="710"/>
      <c r="D294" s="710"/>
      <c r="E294" s="710"/>
      <c r="F294" s="710"/>
      <c r="G294" s="710"/>
      <c r="H294" s="710"/>
      <c r="I294" s="710"/>
      <c r="J294" s="710"/>
      <c r="K294" s="710"/>
      <c r="L294" s="710"/>
      <c r="M294" s="710"/>
      <c r="N294" s="710"/>
      <c r="O294" s="710"/>
      <c r="P294" s="710"/>
      <c r="Q294" s="710"/>
      <c r="R294" s="710"/>
    </row>
    <row r="295" spans="1:18" x14ac:dyDescent="0.2">
      <c r="A295" s="710"/>
      <c r="B295" s="710"/>
      <c r="C295" s="710"/>
      <c r="D295" s="710"/>
      <c r="E295" s="710"/>
      <c r="F295" s="710"/>
      <c r="G295" s="710"/>
      <c r="H295" s="710"/>
      <c r="I295" s="710"/>
      <c r="J295" s="710"/>
      <c r="K295" s="710"/>
      <c r="L295" s="710"/>
      <c r="M295" s="710"/>
      <c r="N295" s="710"/>
      <c r="O295" s="710"/>
      <c r="P295" s="710"/>
      <c r="Q295" s="710"/>
      <c r="R295" s="710"/>
    </row>
    <row r="296" spans="1:18" x14ac:dyDescent="0.2">
      <c r="A296" s="710"/>
      <c r="B296" s="710"/>
      <c r="C296" s="710"/>
      <c r="D296" s="710"/>
      <c r="E296" s="710"/>
      <c r="F296" s="710"/>
      <c r="G296" s="710"/>
      <c r="H296" s="710"/>
      <c r="I296" s="710"/>
      <c r="J296" s="710"/>
      <c r="K296" s="710"/>
      <c r="L296" s="710"/>
      <c r="M296" s="710"/>
      <c r="N296" s="710"/>
      <c r="O296" s="710"/>
      <c r="P296" s="710"/>
      <c r="Q296" s="710"/>
      <c r="R296" s="710"/>
    </row>
    <row r="297" spans="1:18" x14ac:dyDescent="0.2">
      <c r="A297" s="710"/>
      <c r="B297" s="710"/>
      <c r="C297" s="710"/>
      <c r="D297" s="710"/>
      <c r="E297" s="710"/>
      <c r="F297" s="710"/>
      <c r="G297" s="710"/>
      <c r="H297" s="710"/>
      <c r="I297" s="710"/>
      <c r="J297" s="710"/>
      <c r="K297" s="710"/>
      <c r="L297" s="710"/>
      <c r="M297" s="710"/>
      <c r="N297" s="710"/>
      <c r="O297" s="710"/>
      <c r="P297" s="710"/>
      <c r="Q297" s="710"/>
      <c r="R297" s="710"/>
    </row>
    <row r="298" spans="1:18" x14ac:dyDescent="0.2">
      <c r="A298" s="710"/>
      <c r="B298" s="710"/>
      <c r="C298" s="710"/>
      <c r="D298" s="710"/>
      <c r="E298" s="710"/>
      <c r="F298" s="710"/>
      <c r="G298" s="710"/>
      <c r="H298" s="710"/>
      <c r="I298" s="710"/>
      <c r="J298" s="710"/>
      <c r="K298" s="710"/>
      <c r="L298" s="710"/>
      <c r="M298" s="710"/>
      <c r="N298" s="710"/>
      <c r="O298" s="710"/>
      <c r="P298" s="710"/>
      <c r="Q298" s="710"/>
      <c r="R298" s="710"/>
    </row>
    <row r="299" spans="1:18" x14ac:dyDescent="0.2">
      <c r="A299" s="710"/>
      <c r="B299" s="710"/>
      <c r="C299" s="710"/>
      <c r="D299" s="710"/>
      <c r="E299" s="710"/>
      <c r="F299" s="710"/>
      <c r="G299" s="710"/>
      <c r="H299" s="710"/>
      <c r="I299" s="710"/>
      <c r="J299" s="710"/>
      <c r="K299" s="710"/>
      <c r="L299" s="710"/>
      <c r="M299" s="710"/>
      <c r="N299" s="710"/>
      <c r="O299" s="710"/>
      <c r="P299" s="710"/>
      <c r="Q299" s="710"/>
      <c r="R299" s="710"/>
    </row>
    <row r="300" spans="1:18" x14ac:dyDescent="0.2">
      <c r="A300" s="710"/>
      <c r="B300" s="710"/>
      <c r="C300" s="710"/>
      <c r="D300" s="710"/>
      <c r="E300" s="710"/>
      <c r="F300" s="710"/>
      <c r="G300" s="710"/>
      <c r="H300" s="710"/>
      <c r="I300" s="710"/>
      <c r="J300" s="710"/>
      <c r="K300" s="710"/>
      <c r="L300" s="710"/>
      <c r="M300" s="710"/>
      <c r="N300" s="710"/>
      <c r="O300" s="710"/>
      <c r="P300" s="710"/>
      <c r="Q300" s="710"/>
      <c r="R300" s="710"/>
    </row>
    <row r="301" spans="1:18" x14ac:dyDescent="0.2">
      <c r="A301" s="710"/>
      <c r="B301" s="710"/>
      <c r="C301" s="710"/>
      <c r="D301" s="710"/>
      <c r="E301" s="710"/>
      <c r="F301" s="710"/>
      <c r="G301" s="710"/>
      <c r="H301" s="710"/>
      <c r="I301" s="710"/>
      <c r="J301" s="710"/>
      <c r="K301" s="710"/>
      <c r="L301" s="710"/>
      <c r="M301" s="710"/>
      <c r="N301" s="710"/>
      <c r="O301" s="710"/>
      <c r="P301" s="710"/>
      <c r="Q301" s="710"/>
      <c r="R301" s="710"/>
    </row>
    <row r="302" spans="1:18" x14ac:dyDescent="0.2">
      <c r="A302" s="710"/>
      <c r="B302" s="710"/>
      <c r="C302" s="710"/>
      <c r="D302" s="710"/>
      <c r="E302" s="710"/>
      <c r="F302" s="710"/>
      <c r="G302" s="710"/>
      <c r="H302" s="710"/>
      <c r="I302" s="710"/>
      <c r="J302" s="710"/>
      <c r="K302" s="710"/>
      <c r="L302" s="710"/>
      <c r="M302" s="710"/>
      <c r="N302" s="710"/>
      <c r="O302" s="710"/>
      <c r="P302" s="710"/>
      <c r="Q302" s="710"/>
      <c r="R302" s="710"/>
    </row>
    <row r="303" spans="1:18" x14ac:dyDescent="0.2">
      <c r="A303" s="710"/>
      <c r="B303" s="710"/>
      <c r="C303" s="710"/>
      <c r="D303" s="710"/>
      <c r="E303" s="710"/>
      <c r="F303" s="710"/>
      <c r="G303" s="710"/>
      <c r="H303" s="710"/>
      <c r="I303" s="710"/>
      <c r="J303" s="710"/>
      <c r="K303" s="710"/>
      <c r="L303" s="710"/>
      <c r="M303" s="710"/>
      <c r="N303" s="710"/>
      <c r="O303" s="710"/>
      <c r="P303" s="710"/>
      <c r="Q303" s="710"/>
      <c r="R303" s="710"/>
    </row>
    <row r="304" spans="1:18" x14ac:dyDescent="0.2">
      <c r="A304" s="710"/>
      <c r="B304" s="710"/>
      <c r="C304" s="710"/>
      <c r="D304" s="710"/>
      <c r="E304" s="710"/>
      <c r="F304" s="710"/>
      <c r="G304" s="710"/>
      <c r="H304" s="710"/>
      <c r="I304" s="710"/>
      <c r="J304" s="710"/>
      <c r="K304" s="710"/>
      <c r="L304" s="710"/>
      <c r="M304" s="710"/>
      <c r="N304" s="710"/>
      <c r="O304" s="710"/>
      <c r="P304" s="710"/>
      <c r="Q304" s="710"/>
      <c r="R304" s="710"/>
    </row>
    <row r="305" spans="1:18" x14ac:dyDescent="0.2">
      <c r="A305" s="710"/>
      <c r="B305" s="710"/>
      <c r="C305" s="710"/>
      <c r="D305" s="710"/>
      <c r="E305" s="710"/>
      <c r="F305" s="710"/>
      <c r="G305" s="710"/>
      <c r="H305" s="710"/>
      <c r="I305" s="710"/>
      <c r="J305" s="710"/>
      <c r="K305" s="710"/>
      <c r="L305" s="710"/>
      <c r="M305" s="710"/>
      <c r="N305" s="710"/>
      <c r="O305" s="710"/>
      <c r="P305" s="710"/>
      <c r="Q305" s="710"/>
      <c r="R305" s="710"/>
    </row>
    <row r="306" spans="1:18" x14ac:dyDescent="0.2">
      <c r="A306" s="710"/>
      <c r="B306" s="710"/>
      <c r="C306" s="710"/>
      <c r="D306" s="710"/>
      <c r="E306" s="710"/>
      <c r="F306" s="710"/>
      <c r="G306" s="710"/>
      <c r="H306" s="710"/>
      <c r="I306" s="710"/>
      <c r="J306" s="710"/>
      <c r="K306" s="710"/>
      <c r="L306" s="710"/>
      <c r="M306" s="710"/>
      <c r="N306" s="710"/>
      <c r="O306" s="710"/>
      <c r="P306" s="710"/>
      <c r="Q306" s="710"/>
      <c r="R306" s="710"/>
    </row>
    <row r="307" spans="1:18" x14ac:dyDescent="0.2">
      <c r="A307" s="710"/>
      <c r="B307" s="710"/>
      <c r="C307" s="710"/>
      <c r="D307" s="710"/>
      <c r="E307" s="710"/>
      <c r="F307" s="710"/>
      <c r="G307" s="710"/>
      <c r="H307" s="710"/>
      <c r="I307" s="710"/>
      <c r="J307" s="710"/>
      <c r="K307" s="710"/>
      <c r="L307" s="710"/>
      <c r="M307" s="710"/>
      <c r="N307" s="710"/>
      <c r="O307" s="710"/>
      <c r="P307" s="710"/>
      <c r="Q307" s="710"/>
      <c r="R307" s="710"/>
    </row>
    <row r="308" spans="1:18" x14ac:dyDescent="0.2">
      <c r="A308" s="710"/>
      <c r="B308" s="710"/>
      <c r="C308" s="710"/>
      <c r="D308" s="710"/>
      <c r="E308" s="710"/>
      <c r="F308" s="710"/>
      <c r="G308" s="710"/>
      <c r="H308" s="710"/>
      <c r="I308" s="710"/>
      <c r="J308" s="710"/>
      <c r="K308" s="710"/>
      <c r="L308" s="710"/>
      <c r="M308" s="710"/>
      <c r="N308" s="710"/>
      <c r="O308" s="710"/>
      <c r="P308" s="710"/>
      <c r="Q308" s="710"/>
      <c r="R308" s="710"/>
    </row>
    <row r="309" spans="1:18" x14ac:dyDescent="0.2">
      <c r="A309" s="710"/>
      <c r="B309" s="710"/>
      <c r="C309" s="710"/>
      <c r="D309" s="710"/>
      <c r="E309" s="710"/>
      <c r="F309" s="710"/>
      <c r="G309" s="710"/>
      <c r="H309" s="710"/>
      <c r="I309" s="710"/>
      <c r="J309" s="710"/>
      <c r="K309" s="710"/>
      <c r="L309" s="710"/>
      <c r="M309" s="710"/>
      <c r="N309" s="710"/>
      <c r="O309" s="710"/>
      <c r="P309" s="710"/>
      <c r="Q309" s="710"/>
      <c r="R309" s="710"/>
    </row>
    <row r="310" spans="1:18" x14ac:dyDescent="0.2">
      <c r="A310" s="710"/>
      <c r="B310" s="710"/>
      <c r="C310" s="710"/>
      <c r="D310" s="710"/>
      <c r="E310" s="710"/>
      <c r="F310" s="710"/>
      <c r="G310" s="710"/>
      <c r="H310" s="710"/>
      <c r="I310" s="710"/>
      <c r="J310" s="710"/>
      <c r="K310" s="710"/>
      <c r="L310" s="710"/>
      <c r="M310" s="710"/>
      <c r="N310" s="710"/>
      <c r="O310" s="710"/>
      <c r="P310" s="710"/>
      <c r="Q310" s="710"/>
      <c r="R310" s="710"/>
    </row>
    <row r="311" spans="1:18" x14ac:dyDescent="0.2">
      <c r="A311" s="710"/>
      <c r="B311" s="710"/>
      <c r="C311" s="710"/>
      <c r="D311" s="710"/>
      <c r="E311" s="710"/>
      <c r="F311" s="710"/>
      <c r="G311" s="710"/>
      <c r="H311" s="710"/>
      <c r="I311" s="710"/>
      <c r="J311" s="710"/>
      <c r="K311" s="710"/>
      <c r="L311" s="710"/>
      <c r="M311" s="710"/>
      <c r="N311" s="710"/>
      <c r="O311" s="710"/>
      <c r="P311" s="710"/>
      <c r="Q311" s="710"/>
      <c r="R311" s="710"/>
    </row>
    <row r="312" spans="1:18" x14ac:dyDescent="0.2">
      <c r="A312" s="710"/>
      <c r="B312" s="710"/>
      <c r="C312" s="710"/>
      <c r="D312" s="710"/>
      <c r="E312" s="710"/>
      <c r="F312" s="710"/>
      <c r="G312" s="710"/>
      <c r="H312" s="710"/>
      <c r="I312" s="710"/>
      <c r="J312" s="710"/>
      <c r="K312" s="710"/>
      <c r="L312" s="710"/>
      <c r="M312" s="710"/>
      <c r="N312" s="710"/>
      <c r="O312" s="710"/>
      <c r="P312" s="710"/>
      <c r="Q312" s="710"/>
      <c r="R312" s="710"/>
    </row>
  </sheetData>
  <sheetProtection formatCells="0" formatColumns="0" formatRows="0" insertColumns="0" insertRows="0" insertHyperlinks="0" deleteColumns="0" deleteRows="0" selectLockedCells="1" sort="0" autoFilter="0" pivotTables="0"/>
  <mergeCells count="1">
    <mergeCell ref="F3:G3"/>
  </mergeCells>
  <phoneticPr fontId="7" type="noConversion"/>
  <printOptions horizontalCentered="1"/>
  <pageMargins left="0.25" right="0.25" top="0.5" bottom="0.75" header="0.5" footer="0.5"/>
  <pageSetup scale="84"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3" tint="0.39997558519241921"/>
    <pageSetUpPr fitToPage="1"/>
  </sheetPr>
  <dimension ref="A1:BC145"/>
  <sheetViews>
    <sheetView zoomScaleNormal="100" workbookViewId="0">
      <pane xSplit="6" ySplit="9" topLeftCell="G110" activePane="bottomRight" state="frozen"/>
      <selection activeCell="N6" sqref="N6"/>
      <selection pane="topRight" activeCell="N6" sqref="N6"/>
      <selection pane="bottomLeft" activeCell="N6" sqref="N6"/>
      <selection pane="bottomRight"/>
    </sheetView>
  </sheetViews>
  <sheetFormatPr defaultColWidth="9.7109375" defaultRowHeight="12" x14ac:dyDescent="0.2"/>
  <cols>
    <col min="1" max="1" width="4.5703125" style="35" bestFit="1" customWidth="1"/>
    <col min="2" max="2" width="10.28515625" style="35" customWidth="1"/>
    <col min="3" max="3" width="39.140625" style="35" customWidth="1"/>
    <col min="4" max="4" width="35.42578125" style="35" customWidth="1"/>
    <col min="5" max="5" width="6.5703125" style="507" bestFit="1" customWidth="1"/>
    <col min="6" max="6" width="5.7109375" style="35" bestFit="1" customWidth="1"/>
    <col min="7" max="7" width="0.85546875" style="35" customWidth="1"/>
    <col min="8" max="8" width="8.140625" style="35" hidden="1" customWidth="1"/>
    <col min="9" max="9" width="7.28515625" style="35" customWidth="1"/>
    <col min="10" max="10" width="9.140625" style="35" bestFit="1" customWidth="1"/>
    <col min="11" max="11" width="11" style="35" customWidth="1"/>
    <col min="12" max="12" width="10.42578125" style="35" customWidth="1"/>
    <col min="13" max="13" width="7.7109375" style="35" hidden="1" customWidth="1"/>
    <col min="14" max="14" width="8.85546875" style="35" hidden="1" customWidth="1"/>
    <col min="15" max="15" width="12" style="35" customWidth="1"/>
    <col min="16" max="16" width="13" style="35" hidden="1" customWidth="1"/>
    <col min="17" max="17" width="11.42578125" style="35" customWidth="1"/>
    <col min="18" max="18" width="2.85546875" style="35" customWidth="1"/>
    <col min="19" max="19" width="6.42578125" style="35" customWidth="1"/>
    <col min="20" max="20" width="8.140625" style="35" hidden="1" customWidth="1"/>
    <col min="21" max="21" width="7.28515625" style="35" customWidth="1"/>
    <col min="22" max="22" width="9.140625" style="35" bestFit="1" customWidth="1"/>
    <col min="23" max="23" width="8.85546875" style="35" bestFit="1" customWidth="1"/>
    <col min="24" max="24" width="9.28515625" style="35" bestFit="1" customWidth="1"/>
    <col min="25" max="25" width="13.7109375" style="35" hidden="1" customWidth="1"/>
    <col min="26" max="26" width="7.28515625" style="35" hidden="1" customWidth="1"/>
    <col min="27" max="27" width="9.28515625" style="35" hidden="1" customWidth="1"/>
    <col min="28" max="28" width="11.7109375" style="35" customWidth="1"/>
    <col min="29" max="29" width="13" style="35" hidden="1" customWidth="1"/>
    <col min="30" max="30" width="11.7109375" style="35" customWidth="1"/>
    <col min="31" max="31" width="4.5703125" style="35" bestFit="1" customWidth="1"/>
    <col min="32" max="32" width="8.7109375" style="35" customWidth="1"/>
    <col min="33" max="33" width="21.7109375" style="35" customWidth="1"/>
    <col min="34" max="34" width="9.42578125" style="35" bestFit="1" customWidth="1"/>
    <col min="35" max="35" width="28.85546875" style="35" customWidth="1"/>
    <col min="36" max="36" width="7.42578125" style="35" hidden="1" customWidth="1"/>
    <col min="37" max="37" width="28" style="35" customWidth="1"/>
    <col min="38" max="38" width="16.5703125" style="35" hidden="1" customWidth="1"/>
    <col min="39" max="39" width="13.85546875" style="35" hidden="1" customWidth="1"/>
    <col min="40" max="40" width="11.28515625" style="35" hidden="1" customWidth="1"/>
    <col min="41" max="47" width="12" style="35" customWidth="1"/>
    <col min="48" max="49" width="6.7109375" style="35" customWidth="1"/>
    <col min="50" max="50" width="2.42578125" style="35" customWidth="1"/>
    <col min="51" max="51" width="18.7109375" style="35" hidden="1" customWidth="1"/>
    <col min="52" max="52" width="9.140625" style="35" hidden="1" customWidth="1"/>
    <col min="53" max="53" width="6.5703125" style="35" hidden="1" customWidth="1"/>
    <col min="54" max="54" width="0" style="35" hidden="1" customWidth="1" collapsed="1"/>
    <col min="55" max="55" width="9.7109375" style="35" collapsed="1"/>
    <col min="56" max="16384" width="9.7109375" style="35"/>
  </cols>
  <sheetData>
    <row r="1" spans="1:54" s="59" customFormat="1" ht="13.5" thickBot="1" x14ac:dyDescent="0.25">
      <c r="A1" s="128"/>
      <c r="B1" s="94" t="str">
        <f>'SUMMARY FORM'!A2</f>
        <v>FY21 SELF-SUPPORTING BUDGET REQUEST</v>
      </c>
      <c r="C1" s="129"/>
      <c r="D1" s="94"/>
      <c r="E1" s="498"/>
      <c r="F1" s="129"/>
      <c r="G1" s="129"/>
      <c r="H1" s="129"/>
      <c r="I1" s="129"/>
      <c r="J1" s="129"/>
      <c r="K1" s="129"/>
      <c r="L1" s="129"/>
      <c r="M1" s="129"/>
      <c r="N1" s="129"/>
      <c r="O1" s="129"/>
      <c r="P1" s="129"/>
      <c r="Q1" s="129"/>
      <c r="R1" s="129"/>
      <c r="S1" s="129"/>
      <c r="T1" s="129"/>
      <c r="U1" s="129"/>
      <c r="V1" s="129"/>
      <c r="W1" s="129"/>
      <c r="X1" s="129"/>
      <c r="Y1" s="129"/>
      <c r="Z1" s="129"/>
      <c r="AA1" s="129"/>
      <c r="AB1" s="129"/>
      <c r="AC1" s="129"/>
      <c r="AD1" s="422" t="s">
        <v>676</v>
      </c>
      <c r="AE1" s="130"/>
      <c r="AF1" s="128"/>
      <c r="AG1" s="128"/>
      <c r="AH1" s="128"/>
      <c r="AI1" s="128"/>
      <c r="AJ1" s="128"/>
      <c r="AK1" s="128"/>
      <c r="AX1" s="539"/>
      <c r="AY1" s="334" t="s">
        <v>645</v>
      </c>
      <c r="AZ1" s="382" t="s">
        <v>646</v>
      </c>
      <c r="BA1" s="382" t="s">
        <v>770</v>
      </c>
      <c r="BB1" s="382" t="s">
        <v>920</v>
      </c>
    </row>
    <row r="2" spans="1:54" ht="12.75" customHeight="1" x14ac:dyDescent="0.2">
      <c r="A2" s="38"/>
      <c r="B2" s="36"/>
      <c r="C2" s="131"/>
      <c r="D2" s="36"/>
      <c r="E2" s="499"/>
      <c r="F2" s="131"/>
      <c r="G2" s="131"/>
      <c r="H2" s="131"/>
      <c r="I2" s="131"/>
      <c r="J2" s="131"/>
      <c r="K2" s="131"/>
      <c r="L2" s="131"/>
      <c r="M2" s="131"/>
      <c r="N2" s="131"/>
      <c r="O2" s="131"/>
      <c r="P2" s="131"/>
      <c r="Q2" s="131"/>
      <c r="R2" s="131"/>
      <c r="S2" s="131"/>
      <c r="T2" s="131"/>
      <c r="U2" s="131"/>
      <c r="V2" s="131"/>
      <c r="W2" s="131"/>
      <c r="X2" s="131"/>
      <c r="Y2" s="131"/>
      <c r="Z2" s="131"/>
      <c r="AA2" s="131"/>
      <c r="AB2"/>
      <c r="AC2"/>
      <c r="AD2"/>
      <c r="AE2" s="131"/>
      <c r="AF2" s="38"/>
      <c r="AG2" s="38"/>
      <c r="AH2" s="38"/>
      <c r="AI2" s="38"/>
      <c r="AJ2" s="38"/>
      <c r="AK2" s="38"/>
      <c r="AX2" s="540"/>
      <c r="AY2" s="335" t="s">
        <v>632</v>
      </c>
      <c r="AZ2" s="383"/>
      <c r="BA2" s="382">
        <v>0</v>
      </c>
      <c r="BB2" s="719"/>
    </row>
    <row r="3" spans="1:54" ht="12.75" x14ac:dyDescent="0.2">
      <c r="A3" s="38"/>
      <c r="B3"/>
      <c r="C3" s="375" t="s">
        <v>641</v>
      </c>
      <c r="D3" s="374" t="str">
        <f>'SUMMARY FORM'!AF2</f>
        <v>0  0  0  NEW</v>
      </c>
      <c r="E3" s="500"/>
      <c r="F3"/>
      <c r="G3"/>
      <c r="H3"/>
      <c r="I3"/>
      <c r="J3"/>
      <c r="K3" s="38"/>
      <c r="L3" s="38"/>
      <c r="M3" s="38"/>
      <c r="N3" s="38"/>
      <c r="O3" s="38"/>
      <c r="P3" s="112"/>
      <c r="R3" s="112"/>
      <c r="S3" s="1301" t="str">
        <f>IF(U122=T122,"","Note: An FTE is more than two decimal places. Please adjust all FTEs to be two decimal places in length.")</f>
        <v/>
      </c>
      <c r="T3" s="1301"/>
      <c r="U3" s="1301"/>
      <c r="V3" s="1301"/>
      <c r="W3" s="1301"/>
      <c r="X3" s="1301"/>
      <c r="Y3" s="1301"/>
      <c r="Z3" s="1301"/>
      <c r="AA3" s="1301"/>
      <c r="AB3" s="1301"/>
      <c r="AC3" s="1301"/>
      <c r="AD3" s="1301"/>
      <c r="AE3" s="38"/>
      <c r="AF3" s="38"/>
      <c r="AG3" s="38"/>
      <c r="AH3" s="38"/>
      <c r="AI3" s="38"/>
      <c r="AJ3" s="38"/>
      <c r="AK3" s="38"/>
      <c r="AX3" s="540"/>
      <c r="AY3" s="383" t="s">
        <v>639</v>
      </c>
      <c r="AZ3" s="383" t="s">
        <v>632</v>
      </c>
      <c r="BA3" s="35">
        <v>1000</v>
      </c>
      <c r="BB3" s="383" t="s">
        <v>632</v>
      </c>
    </row>
    <row r="4" spans="1:54" ht="12.75" customHeight="1" x14ac:dyDescent="0.2">
      <c r="A4" s="38"/>
      <c r="B4" s="38"/>
      <c r="C4" s="38"/>
      <c r="D4" s="38"/>
      <c r="E4" s="501"/>
      <c r="F4" s="38"/>
      <c r="G4" s="131"/>
      <c r="H4" s="38"/>
      <c r="I4" s="38"/>
      <c r="J4" s="38"/>
      <c r="K4" s="38"/>
      <c r="L4" s="38"/>
      <c r="M4" s="38"/>
      <c r="N4" s="38"/>
      <c r="O4" s="38"/>
      <c r="P4" s="38"/>
      <c r="Q4" s="38"/>
      <c r="R4" s="38"/>
      <c r="S4" s="1302"/>
      <c r="T4" s="1302"/>
      <c r="U4" s="1302"/>
      <c r="V4" s="1302"/>
      <c r="W4" s="1302"/>
      <c r="X4" s="1302"/>
      <c r="Y4" s="1302"/>
      <c r="Z4" s="1302"/>
      <c r="AA4" s="1302"/>
      <c r="AB4" s="1302"/>
      <c r="AC4" s="1302"/>
      <c r="AD4" s="1302"/>
      <c r="AE4" s="38"/>
      <c r="AF4" s="38"/>
      <c r="AG4" s="38"/>
      <c r="AH4" s="38"/>
      <c r="AI4" s="38"/>
      <c r="AJ4" s="38"/>
      <c r="AK4" s="38"/>
      <c r="AX4" s="540"/>
      <c r="AZ4" s="383" t="s">
        <v>639</v>
      </c>
      <c r="BA4" s="35">
        <v>1500</v>
      </c>
    </row>
    <row r="5" spans="1:54" ht="15" customHeight="1" x14ac:dyDescent="0.2">
      <c r="A5" s="38"/>
      <c r="B5" s="1312" t="s">
        <v>893</v>
      </c>
      <c r="C5" s="1313"/>
      <c r="D5" s="1313"/>
      <c r="E5" s="1314"/>
      <c r="F5" s="1313"/>
      <c r="G5" s="131"/>
      <c r="H5" s="1315" t="str">
        <f>'SUMMARY FORM'!J15&amp;" - PROJECTED ACTUAL"</f>
        <v>FY20 - PROJECTED ACTUAL</v>
      </c>
      <c r="I5" s="1316"/>
      <c r="J5" s="1317"/>
      <c r="K5" s="1317"/>
      <c r="L5" s="1317"/>
      <c r="M5" s="1318"/>
      <c r="N5" s="1318"/>
      <c r="O5" s="1317"/>
      <c r="P5" s="1317"/>
      <c r="Q5" s="1319"/>
      <c r="R5" s="39"/>
      <c r="S5" s="1305" t="str">
        <f>'SUMMARY FORM'!N15&amp;" BUDGET "</f>
        <v xml:space="preserve">FY21 BUDGET </v>
      </c>
      <c r="T5" s="1306"/>
      <c r="U5" s="1307"/>
      <c r="V5" s="1306"/>
      <c r="W5" s="1306"/>
      <c r="X5" s="1306"/>
      <c r="Y5" s="1306"/>
      <c r="Z5" s="1306"/>
      <c r="AA5" s="1306"/>
      <c r="AB5" s="1306"/>
      <c r="AC5" s="1306"/>
      <c r="AD5" s="1308"/>
      <c r="AE5" s="39"/>
      <c r="AF5" s="1320" t="s">
        <v>889</v>
      </c>
      <c r="AG5" s="1320"/>
      <c r="AH5" s="1320"/>
      <c r="AI5" s="1320"/>
      <c r="AJ5" s="1320"/>
      <c r="AK5" s="1320"/>
      <c r="AL5" s="1320"/>
      <c r="AM5" s="1320"/>
      <c r="AN5" s="1320"/>
      <c r="AO5" s="69"/>
      <c r="AP5" s="69"/>
      <c r="AQ5" s="69"/>
      <c r="AR5" s="69"/>
      <c r="AS5" s="69"/>
      <c r="AT5" s="69"/>
      <c r="AU5" s="69"/>
      <c r="AX5" s="540"/>
      <c r="BA5" s="35">
        <v>2000</v>
      </c>
    </row>
    <row r="6" spans="1:54" ht="15" customHeight="1" x14ac:dyDescent="0.2">
      <c r="A6" s="38"/>
      <c r="B6" s="40" t="s">
        <v>2</v>
      </c>
      <c r="C6" s="132" t="s">
        <v>3</v>
      </c>
      <c r="D6" s="41" t="s">
        <v>4</v>
      </c>
      <c r="E6" s="502" t="s">
        <v>5</v>
      </c>
      <c r="F6" s="497" t="s">
        <v>6</v>
      </c>
      <c r="G6" s="133"/>
      <c r="H6" s="42"/>
      <c r="I6" s="42" t="s">
        <v>7</v>
      </c>
      <c r="J6" s="42" t="s">
        <v>8</v>
      </c>
      <c r="K6" s="372" t="s">
        <v>9</v>
      </c>
      <c r="L6" s="372" t="s">
        <v>10</v>
      </c>
      <c r="M6" s="372"/>
      <c r="N6" s="372"/>
      <c r="O6" s="372"/>
      <c r="P6" s="43"/>
      <c r="Q6" s="43"/>
      <c r="R6" s="12"/>
      <c r="S6" s="42" t="s">
        <v>11</v>
      </c>
      <c r="T6" s="42"/>
      <c r="U6" s="42" t="s">
        <v>12</v>
      </c>
      <c r="V6" s="42" t="s">
        <v>13</v>
      </c>
      <c r="W6" s="42" t="s">
        <v>14</v>
      </c>
      <c r="X6" s="372" t="s">
        <v>1</v>
      </c>
      <c r="Y6" s="42" t="s">
        <v>771</v>
      </c>
      <c r="Z6" s="42"/>
      <c r="AA6" s="42"/>
      <c r="AB6" s="42"/>
      <c r="AC6" s="43"/>
      <c r="AD6" s="43"/>
      <c r="AE6" s="38"/>
      <c r="AF6" s="42" t="s">
        <v>685</v>
      </c>
      <c r="AG6" s="42" t="s">
        <v>686</v>
      </c>
      <c r="AH6" s="42" t="s">
        <v>687</v>
      </c>
      <c r="AI6" s="42" t="s">
        <v>688</v>
      </c>
      <c r="AJ6" s="42" t="s">
        <v>689</v>
      </c>
      <c r="AK6" s="42" t="s">
        <v>690</v>
      </c>
      <c r="AL6" s="1321" t="s">
        <v>890</v>
      </c>
      <c r="AM6" s="1321"/>
      <c r="AN6" s="1321"/>
      <c r="AX6" s="540"/>
      <c r="BA6" s="35">
        <v>2500</v>
      </c>
    </row>
    <row r="7" spans="1:54" x14ac:dyDescent="0.2">
      <c r="A7" s="38"/>
      <c r="B7" s="44"/>
      <c r="C7" s="92"/>
      <c r="D7" s="92"/>
      <c r="E7" s="503"/>
      <c r="F7" s="93"/>
      <c r="G7" s="133"/>
      <c r="H7" s="1117"/>
      <c r="I7" s="345"/>
      <c r="J7" s="113"/>
      <c r="K7" s="92" t="str">
        <f>'SUMMARY FORM'!J15</f>
        <v>FY20</v>
      </c>
      <c r="L7" s="92" t="str">
        <f>'SUMMARY FORM'!J15</f>
        <v>FY20</v>
      </c>
      <c r="M7" s="134"/>
      <c r="N7" s="486"/>
      <c r="O7" s="333" t="str">
        <f>K7</f>
        <v>FY20</v>
      </c>
      <c r="P7" s="114" t="s">
        <v>18</v>
      </c>
      <c r="Q7" s="115" t="str">
        <f>O7</f>
        <v>FY20</v>
      </c>
      <c r="R7" s="12"/>
      <c r="S7" s="44" t="s">
        <v>350</v>
      </c>
      <c r="T7" s="1117"/>
      <c r="U7" s="345"/>
      <c r="V7" s="113"/>
      <c r="W7" s="45" t="str">
        <f>'SUMMARY FORM'!N15</f>
        <v>FY21</v>
      </c>
      <c r="X7" s="92" t="str">
        <f>'SUMMARY FORM'!N15</f>
        <v>FY21</v>
      </c>
      <c r="Y7" s="551"/>
      <c r="Z7" s="716" t="str">
        <f>'SUMMARY FORM'!N15</f>
        <v>FY21</v>
      </c>
      <c r="AA7" s="162"/>
      <c r="AB7" s="333" t="str">
        <f>'SUMMARY FORM'!N15</f>
        <v>FY21</v>
      </c>
      <c r="AC7" s="114" t="s">
        <v>18</v>
      </c>
      <c r="AD7" s="333" t="str">
        <f>'SUMMARY FORM'!N15</f>
        <v>FY21</v>
      </c>
      <c r="AE7" s="38"/>
      <c r="AF7" s="333" t="s">
        <v>628</v>
      </c>
      <c r="AG7" s="333" t="s">
        <v>630</v>
      </c>
      <c r="AH7" s="333" t="s">
        <v>244</v>
      </c>
      <c r="AI7" s="118"/>
      <c r="AJ7" s="333" t="s">
        <v>638</v>
      </c>
      <c r="AK7" s="118"/>
      <c r="AL7" s="1322" t="s">
        <v>891</v>
      </c>
      <c r="AM7" s="1323"/>
      <c r="AN7" s="1324"/>
      <c r="AO7" s="267"/>
      <c r="AP7" s="267"/>
      <c r="AQ7" s="267"/>
      <c r="AR7" s="267"/>
      <c r="AS7" s="267"/>
      <c r="AT7" s="267"/>
      <c r="AU7" s="267"/>
      <c r="AX7" s="540"/>
      <c r="BA7" s="35">
        <v>3000</v>
      </c>
    </row>
    <row r="8" spans="1:54" ht="12.75" customHeight="1" x14ac:dyDescent="0.2">
      <c r="A8" s="38"/>
      <c r="B8" s="46" t="s">
        <v>244</v>
      </c>
      <c r="C8" s="93"/>
      <c r="D8" s="93" t="s">
        <v>0</v>
      </c>
      <c r="E8" s="503"/>
      <c r="F8" s="93"/>
      <c r="G8" s="133"/>
      <c r="H8" s="1118" t="s">
        <v>3866</v>
      </c>
      <c r="I8" s="349"/>
      <c r="J8" s="41" t="s">
        <v>345</v>
      </c>
      <c r="K8" s="93" t="s">
        <v>20</v>
      </c>
      <c r="L8" s="93" t="s">
        <v>20</v>
      </c>
      <c r="M8" s="135" t="s">
        <v>333</v>
      </c>
      <c r="N8" s="119" t="s">
        <v>710</v>
      </c>
      <c r="O8" s="123" t="s">
        <v>246</v>
      </c>
      <c r="P8" s="119" t="s">
        <v>1202</v>
      </c>
      <c r="Q8" s="120" t="s">
        <v>330</v>
      </c>
      <c r="R8" s="12"/>
      <c r="S8" s="46" t="s">
        <v>274</v>
      </c>
      <c r="T8" s="1118" t="s">
        <v>3866</v>
      </c>
      <c r="U8" s="349"/>
      <c r="V8" s="41" t="s">
        <v>345</v>
      </c>
      <c r="W8" s="47" t="s">
        <v>20</v>
      </c>
      <c r="X8" s="93" t="s">
        <v>20</v>
      </c>
      <c r="Y8" s="552" t="str">
        <f>'SUMMARY FORM'!N15</f>
        <v>FY21</v>
      </c>
      <c r="Z8" s="717" t="s">
        <v>275</v>
      </c>
      <c r="AA8" s="163" t="s">
        <v>333</v>
      </c>
      <c r="AB8" s="474" t="s">
        <v>330</v>
      </c>
      <c r="AC8" s="119" t="s">
        <v>1202</v>
      </c>
      <c r="AD8" s="123" t="s">
        <v>330</v>
      </c>
      <c r="AE8" s="38"/>
      <c r="AF8" s="123" t="s">
        <v>629</v>
      </c>
      <c r="AG8" s="123" t="s">
        <v>244</v>
      </c>
      <c r="AH8" s="123" t="s">
        <v>637</v>
      </c>
      <c r="AI8" s="124"/>
      <c r="AJ8" s="123" t="s">
        <v>244</v>
      </c>
      <c r="AK8" s="773"/>
      <c r="AL8" s="681" t="s">
        <v>244</v>
      </c>
      <c r="AM8" s="680" t="s">
        <v>244</v>
      </c>
      <c r="AN8" s="1325" t="s">
        <v>888</v>
      </c>
      <c r="AO8" s="267"/>
      <c r="AP8" s="267"/>
      <c r="AQ8" s="267"/>
      <c r="AR8" s="267"/>
      <c r="AS8" s="267"/>
      <c r="AT8" s="267"/>
      <c r="AU8" s="267"/>
      <c r="AV8" s="496"/>
      <c r="AW8" s="496"/>
      <c r="AX8" s="541"/>
      <c r="AY8" s="496"/>
      <c r="AZ8" s="496"/>
      <c r="BA8" s="35">
        <v>4500</v>
      </c>
    </row>
    <row r="9" spans="1:54" x14ac:dyDescent="0.2">
      <c r="A9" s="38"/>
      <c r="B9" s="49" t="s">
        <v>15</v>
      </c>
      <c r="C9" s="50" t="s">
        <v>16</v>
      </c>
      <c r="D9" s="48" t="s">
        <v>3859</v>
      </c>
      <c r="E9" s="504" t="s">
        <v>726</v>
      </c>
      <c r="F9" s="339" t="s">
        <v>579</v>
      </c>
      <c r="G9" s="133"/>
      <c r="H9" s="1119" t="s">
        <v>243</v>
      </c>
      <c r="I9" s="339" t="s">
        <v>243</v>
      </c>
      <c r="J9" s="353" t="s">
        <v>591</v>
      </c>
      <c r="K9" s="48" t="s">
        <v>245</v>
      </c>
      <c r="L9" s="48" t="s">
        <v>625</v>
      </c>
      <c r="M9" s="52" t="s">
        <v>245</v>
      </c>
      <c r="N9" s="53" t="s">
        <v>245</v>
      </c>
      <c r="O9" s="125" t="s">
        <v>245</v>
      </c>
      <c r="P9" s="701">
        <f>Rates!$C$367</f>
        <v>0.29799999999999999</v>
      </c>
      <c r="Q9" s="54" t="s">
        <v>19</v>
      </c>
      <c r="R9" s="12"/>
      <c r="S9" s="49" t="str">
        <f>'SUMMARY FORM'!N15</f>
        <v>FY21</v>
      </c>
      <c r="T9" s="1119" t="s">
        <v>243</v>
      </c>
      <c r="U9" s="339" t="s">
        <v>243</v>
      </c>
      <c r="V9" s="51" t="s">
        <v>591</v>
      </c>
      <c r="W9" s="48" t="s">
        <v>245</v>
      </c>
      <c r="X9" s="48" t="s">
        <v>625</v>
      </c>
      <c r="Y9" s="553" t="s">
        <v>351</v>
      </c>
      <c r="Z9" s="718">
        <v>0</v>
      </c>
      <c r="AA9" s="164" t="s">
        <v>245</v>
      </c>
      <c r="AB9" s="125" t="s">
        <v>245</v>
      </c>
      <c r="AC9" s="701">
        <f>Rates!$C$384</f>
        <v>0.29899999999999999</v>
      </c>
      <c r="AD9" s="125" t="s">
        <v>19</v>
      </c>
      <c r="AE9" s="38"/>
      <c r="AF9" s="125" t="s">
        <v>244</v>
      </c>
      <c r="AG9" s="125" t="s">
        <v>631</v>
      </c>
      <c r="AH9" s="125" t="str">
        <f>'SUMMARY FORM'!N15</f>
        <v>FY21</v>
      </c>
      <c r="AI9" s="125" t="s">
        <v>3920</v>
      </c>
      <c r="AJ9" s="125" t="str">
        <f>'SUMMARY FORM'!N15</f>
        <v>FY21</v>
      </c>
      <c r="AK9" s="125" t="s">
        <v>3921</v>
      </c>
      <c r="AL9" s="125" t="s">
        <v>896</v>
      </c>
      <c r="AM9" s="54" t="s">
        <v>887</v>
      </c>
      <c r="AN9" s="1325"/>
      <c r="AO9" s="267"/>
      <c r="AP9" s="267"/>
      <c r="AQ9" s="267"/>
      <c r="AR9" s="267"/>
      <c r="AS9" s="267"/>
      <c r="AT9" s="267"/>
      <c r="AU9" s="267"/>
      <c r="AV9" s="496"/>
      <c r="AW9" s="496"/>
      <c r="AX9" s="541"/>
      <c r="AY9" s="496"/>
      <c r="AZ9" s="496"/>
      <c r="BA9" s="496"/>
      <c r="BB9" s="496"/>
    </row>
    <row r="10" spans="1:54" ht="25.5" customHeight="1" x14ac:dyDescent="0.2">
      <c r="A10" s="38">
        <v>1</v>
      </c>
      <c r="B10" s="379"/>
      <c r="C10" s="495"/>
      <c r="D10" s="495"/>
      <c r="E10" s="505"/>
      <c r="F10" s="387"/>
      <c r="G10" s="133"/>
      <c r="H10" s="1120">
        <f>ROUND(I10,2)</f>
        <v>0</v>
      </c>
      <c r="I10" s="389"/>
      <c r="J10" s="388"/>
      <c r="K10" s="446"/>
      <c r="L10" s="446"/>
      <c r="M10" s="373">
        <f>IF(F10="y",(((K10+L10)*Rates!$I$362))/12,((K10+L10)/12))</f>
        <v>0</v>
      </c>
      <c r="N10" s="485">
        <f>M10*J10*H10</f>
        <v>0</v>
      </c>
      <c r="O10" s="254">
        <f>M10*J10*H10</f>
        <v>0</v>
      </c>
      <c r="P10" s="355">
        <f>O10*$P$9</f>
        <v>0</v>
      </c>
      <c r="Q10" s="32">
        <f>SUM(P10)</f>
        <v>0</v>
      </c>
      <c r="R10" s="12"/>
      <c r="S10" s="391"/>
      <c r="T10" s="1120">
        <f>ROUND(U10,2)</f>
        <v>0</v>
      </c>
      <c r="U10" s="389"/>
      <c r="V10" s="388"/>
      <c r="W10" s="446"/>
      <c r="X10" s="446"/>
      <c r="Y10" s="390"/>
      <c r="Z10" s="101">
        <f t="shared" ref="Z10:Z73" si="0">IF(S10="y",0,((W10+Y10)*$Z$9))</f>
        <v>0</v>
      </c>
      <c r="AA10" s="373">
        <f>IF(F10="y",((((W10+X10+Y10+Z10)*T10)*Rates!$C$379))/12,(((W10+X10+Y10+Z10)*T10)/12))</f>
        <v>0</v>
      </c>
      <c r="AB10" s="254">
        <f>AA10*V10</f>
        <v>0</v>
      </c>
      <c r="AC10" s="33">
        <f t="shared" ref="AC10:AC41" si="1">$AC$9*AB10</f>
        <v>0</v>
      </c>
      <c r="AD10" s="427">
        <f t="shared" ref="AD10:AD73" si="2">SUM(AC10:AC10)</f>
        <v>0</v>
      </c>
      <c r="AE10" s="38">
        <v>1</v>
      </c>
      <c r="AF10" s="387"/>
      <c r="AG10" s="1070"/>
      <c r="AH10" s="387"/>
      <c r="AI10" s="1070"/>
      <c r="AJ10" s="387"/>
      <c r="AK10" s="1070"/>
      <c r="AL10" s="428"/>
      <c r="AM10" s="622"/>
      <c r="AN10" s="623"/>
      <c r="AO10" s="267"/>
      <c r="AP10" s="267"/>
      <c r="AQ10" s="267"/>
      <c r="AR10" s="267"/>
      <c r="AS10" s="267"/>
      <c r="AT10" s="267"/>
      <c r="AU10" s="267"/>
      <c r="BA10" s="496"/>
      <c r="BB10" s="496"/>
    </row>
    <row r="11" spans="1:54" ht="25.5" customHeight="1" x14ac:dyDescent="0.2">
      <c r="A11" s="38">
        <v>2</v>
      </c>
      <c r="B11" s="379"/>
      <c r="C11" s="495"/>
      <c r="D11" s="495"/>
      <c r="E11" s="505"/>
      <c r="F11" s="387"/>
      <c r="G11" s="133"/>
      <c r="H11" s="1120">
        <f t="shared" ref="H11:H74" si="3">ROUND(I11,2)</f>
        <v>0</v>
      </c>
      <c r="I11" s="389"/>
      <c r="J11" s="388"/>
      <c r="K11" s="446"/>
      <c r="L11" s="446"/>
      <c r="M11" s="373">
        <f>IF(F11="y",(((K11+L11)*Rates!$I$362))/12,((K11+L11)/12))</f>
        <v>0</v>
      </c>
      <c r="N11" s="485">
        <f t="shared" ref="N11:N41" si="4">M11*J11*H11</f>
        <v>0</v>
      </c>
      <c r="O11" s="254">
        <f t="shared" ref="O11:O41" si="5">M11*J11*H11</f>
        <v>0</v>
      </c>
      <c r="P11" s="355">
        <f t="shared" ref="P11:P74" si="6">O11*$P$9</f>
        <v>0</v>
      </c>
      <c r="Q11" s="32">
        <f t="shared" ref="Q11:Q74" si="7">SUM(P11)</f>
        <v>0</v>
      </c>
      <c r="R11" s="12"/>
      <c r="S11" s="391"/>
      <c r="T11" s="1120">
        <f t="shared" ref="T11:T74" si="8">ROUND(U11,2)</f>
        <v>0</v>
      </c>
      <c r="U11" s="389"/>
      <c r="V11" s="388"/>
      <c r="W11" s="446"/>
      <c r="X11" s="446"/>
      <c r="Y11" s="390"/>
      <c r="Z11" s="101">
        <f t="shared" si="0"/>
        <v>0</v>
      </c>
      <c r="AA11" s="373">
        <f>IF(F11="y",((((W11+X11+Y11+Z11)*T11)*Rates!$C$379))/12,(((W11+X11+Y11+Z11)*T11)/12))</f>
        <v>0</v>
      </c>
      <c r="AB11" s="254">
        <f t="shared" ref="AB11:AB73" si="9">AA11*V11</f>
        <v>0</v>
      </c>
      <c r="AC11" s="33">
        <f t="shared" si="1"/>
        <v>0</v>
      </c>
      <c r="AD11" s="427">
        <f t="shared" si="2"/>
        <v>0</v>
      </c>
      <c r="AE11" s="38">
        <v>2</v>
      </c>
      <c r="AF11" s="387"/>
      <c r="AG11" s="1070"/>
      <c r="AH11" s="387"/>
      <c r="AI11" s="1070"/>
      <c r="AJ11" s="387"/>
      <c r="AK11" s="1070"/>
      <c r="AL11" s="428"/>
      <c r="AM11" s="428"/>
      <c r="AN11" s="623"/>
      <c r="AO11" s="267"/>
      <c r="AP11" s="267"/>
      <c r="AQ11" s="267"/>
      <c r="AR11" s="267"/>
      <c r="AS11" s="267"/>
      <c r="AT11" s="267"/>
      <c r="AU11" s="267"/>
    </row>
    <row r="12" spans="1:54" ht="25.5" customHeight="1" x14ac:dyDescent="0.2">
      <c r="A12" s="38">
        <v>3</v>
      </c>
      <c r="B12" s="379"/>
      <c r="C12" s="495"/>
      <c r="D12" s="495"/>
      <c r="E12" s="505"/>
      <c r="F12" s="387"/>
      <c r="G12" s="133"/>
      <c r="H12" s="1120">
        <f t="shared" si="3"/>
        <v>0</v>
      </c>
      <c r="I12" s="389"/>
      <c r="J12" s="388"/>
      <c r="K12" s="446"/>
      <c r="L12" s="446"/>
      <c r="M12" s="373">
        <f>IF(F12="y",(((K12+L12)*Rates!$I$362))/12,((K12+L12)/12))</f>
        <v>0</v>
      </c>
      <c r="N12" s="485">
        <f t="shared" si="4"/>
        <v>0</v>
      </c>
      <c r="O12" s="254">
        <f t="shared" si="5"/>
        <v>0</v>
      </c>
      <c r="P12" s="355">
        <f t="shared" si="6"/>
        <v>0</v>
      </c>
      <c r="Q12" s="32">
        <f t="shared" si="7"/>
        <v>0</v>
      </c>
      <c r="R12" s="12"/>
      <c r="S12" s="391"/>
      <c r="T12" s="1120">
        <f t="shared" si="8"/>
        <v>0</v>
      </c>
      <c r="U12" s="389"/>
      <c r="V12" s="388"/>
      <c r="W12" s="446"/>
      <c r="X12" s="446"/>
      <c r="Y12" s="390"/>
      <c r="Z12" s="101">
        <f t="shared" si="0"/>
        <v>0</v>
      </c>
      <c r="AA12" s="373">
        <f>IF(F12="y",((((W12+X12+Y12+Z12)*T12)*Rates!$C$379))/12,(((W12+X12+Y12+Z12)*T12)/12))</f>
        <v>0</v>
      </c>
      <c r="AB12" s="254">
        <f t="shared" si="9"/>
        <v>0</v>
      </c>
      <c r="AC12" s="33">
        <f t="shared" si="1"/>
        <v>0</v>
      </c>
      <c r="AD12" s="427">
        <f t="shared" si="2"/>
        <v>0</v>
      </c>
      <c r="AE12" s="38">
        <v>3</v>
      </c>
      <c r="AF12" s="387"/>
      <c r="AG12" s="1070"/>
      <c r="AH12" s="387"/>
      <c r="AI12" s="1070"/>
      <c r="AJ12" s="387"/>
      <c r="AK12" s="1070"/>
      <c r="AL12" s="428"/>
      <c r="AM12" s="428"/>
      <c r="AN12" s="623"/>
      <c r="AO12" s="267"/>
      <c r="AP12" s="267"/>
      <c r="AQ12" s="267"/>
      <c r="AR12" s="267"/>
      <c r="AS12" s="267"/>
      <c r="AT12" s="267"/>
      <c r="AU12" s="267"/>
    </row>
    <row r="13" spans="1:54" ht="25.5" customHeight="1" x14ac:dyDescent="0.2">
      <c r="A13" s="38">
        <v>4</v>
      </c>
      <c r="B13" s="379"/>
      <c r="C13" s="495"/>
      <c r="D13" s="495"/>
      <c r="E13" s="505"/>
      <c r="F13" s="387"/>
      <c r="G13" s="133"/>
      <c r="H13" s="1120">
        <f t="shared" si="3"/>
        <v>0</v>
      </c>
      <c r="I13" s="389"/>
      <c r="J13" s="388"/>
      <c r="K13" s="446"/>
      <c r="L13" s="446"/>
      <c r="M13" s="373">
        <f>IF(F13="y",(((K13+L13)*Rates!$I$362))/12,((K13+L13)/12))</f>
        <v>0</v>
      </c>
      <c r="N13" s="485">
        <f t="shared" si="4"/>
        <v>0</v>
      </c>
      <c r="O13" s="254">
        <f t="shared" si="5"/>
        <v>0</v>
      </c>
      <c r="P13" s="355">
        <f t="shared" si="6"/>
        <v>0</v>
      </c>
      <c r="Q13" s="32">
        <f t="shared" si="7"/>
        <v>0</v>
      </c>
      <c r="R13" s="12"/>
      <c r="S13" s="391"/>
      <c r="T13" s="1120">
        <f t="shared" si="8"/>
        <v>0</v>
      </c>
      <c r="U13" s="389"/>
      <c r="V13" s="388"/>
      <c r="W13" s="446"/>
      <c r="X13" s="446"/>
      <c r="Y13" s="390"/>
      <c r="Z13" s="101">
        <f t="shared" si="0"/>
        <v>0</v>
      </c>
      <c r="AA13" s="373">
        <f>IF(F13="y",((((W13+X13+Y13+Z13)*T13)*Rates!$C$379))/12,(((W13+X13+Y13+Z13)*T13)/12))</f>
        <v>0</v>
      </c>
      <c r="AB13" s="254">
        <f t="shared" si="9"/>
        <v>0</v>
      </c>
      <c r="AC13" s="33">
        <f t="shared" si="1"/>
        <v>0</v>
      </c>
      <c r="AD13" s="427">
        <f t="shared" si="2"/>
        <v>0</v>
      </c>
      <c r="AE13" s="38">
        <v>4</v>
      </c>
      <c r="AF13" s="387"/>
      <c r="AG13" s="1070"/>
      <c r="AH13" s="387"/>
      <c r="AI13" s="1070"/>
      <c r="AJ13" s="387"/>
      <c r="AK13" s="1070"/>
      <c r="AL13" s="428"/>
      <c r="AM13" s="428"/>
      <c r="AN13" s="623"/>
      <c r="AO13" s="267"/>
      <c r="AP13" s="267"/>
      <c r="AQ13" s="267"/>
      <c r="AR13" s="267"/>
      <c r="AS13" s="267"/>
      <c r="AT13" s="267"/>
      <c r="AU13" s="267"/>
    </row>
    <row r="14" spans="1:54" ht="25.5" customHeight="1" x14ac:dyDescent="0.2">
      <c r="A14" s="38">
        <v>5</v>
      </c>
      <c r="B14" s="379"/>
      <c r="C14" s="495"/>
      <c r="D14" s="495"/>
      <c r="E14" s="505"/>
      <c r="F14" s="387"/>
      <c r="G14" s="133"/>
      <c r="H14" s="1120">
        <f t="shared" si="3"/>
        <v>0</v>
      </c>
      <c r="I14" s="389"/>
      <c r="J14" s="388"/>
      <c r="K14" s="446"/>
      <c r="L14" s="446"/>
      <c r="M14" s="373">
        <f>IF(F14="y",(((K14+L14)*Rates!$I$362))/12,((K14+L14)/12))</f>
        <v>0</v>
      </c>
      <c r="N14" s="485">
        <f t="shared" si="4"/>
        <v>0</v>
      </c>
      <c r="O14" s="254">
        <f t="shared" si="5"/>
        <v>0</v>
      </c>
      <c r="P14" s="355">
        <f t="shared" si="6"/>
        <v>0</v>
      </c>
      <c r="Q14" s="32">
        <f t="shared" si="7"/>
        <v>0</v>
      </c>
      <c r="R14" s="12"/>
      <c r="S14" s="391"/>
      <c r="T14" s="1120">
        <f t="shared" si="8"/>
        <v>0</v>
      </c>
      <c r="U14" s="389"/>
      <c r="V14" s="388"/>
      <c r="W14" s="446"/>
      <c r="X14" s="446"/>
      <c r="Y14" s="390"/>
      <c r="Z14" s="101">
        <f t="shared" si="0"/>
        <v>0</v>
      </c>
      <c r="AA14" s="373">
        <f>IF(F14="y",((((W14+X14+Y14+Z14)*T14)*Rates!$C$379))/12,(((W14+X14+Y14+Z14)*T14)/12))</f>
        <v>0</v>
      </c>
      <c r="AB14" s="254">
        <f t="shared" si="9"/>
        <v>0</v>
      </c>
      <c r="AC14" s="33">
        <f t="shared" si="1"/>
        <v>0</v>
      </c>
      <c r="AD14" s="427">
        <f t="shared" si="2"/>
        <v>0</v>
      </c>
      <c r="AE14" s="38">
        <v>5</v>
      </c>
      <c r="AF14" s="387"/>
      <c r="AG14" s="1070"/>
      <c r="AH14" s="387"/>
      <c r="AI14" s="1070"/>
      <c r="AJ14" s="387"/>
      <c r="AK14" s="1070"/>
      <c r="AL14" s="428"/>
      <c r="AM14" s="428"/>
      <c r="AN14" s="623"/>
      <c r="AO14" s="267"/>
      <c r="AP14" s="267"/>
      <c r="AQ14" s="267"/>
      <c r="AR14" s="267"/>
      <c r="AS14" s="267"/>
      <c r="AT14" s="267"/>
      <c r="AU14" s="267"/>
    </row>
    <row r="15" spans="1:54" ht="25.5" customHeight="1" x14ac:dyDescent="0.2">
      <c r="A15" s="38">
        <v>6</v>
      </c>
      <c r="B15" s="379"/>
      <c r="C15" s="495"/>
      <c r="D15" s="495"/>
      <c r="E15" s="505"/>
      <c r="F15" s="387"/>
      <c r="G15" s="133"/>
      <c r="H15" s="1120">
        <f t="shared" si="3"/>
        <v>0</v>
      </c>
      <c r="I15" s="389"/>
      <c r="J15" s="388"/>
      <c r="K15" s="446"/>
      <c r="L15" s="446"/>
      <c r="M15" s="373">
        <f>IF(F15="y",(((K15+L15)*Rates!$I$362))/12,((K15+L15)/12))</f>
        <v>0</v>
      </c>
      <c r="N15" s="485">
        <f t="shared" si="4"/>
        <v>0</v>
      </c>
      <c r="O15" s="254">
        <f t="shared" si="5"/>
        <v>0</v>
      </c>
      <c r="P15" s="355">
        <f t="shared" si="6"/>
        <v>0</v>
      </c>
      <c r="Q15" s="32">
        <f t="shared" si="7"/>
        <v>0</v>
      </c>
      <c r="R15" s="12"/>
      <c r="S15" s="391"/>
      <c r="T15" s="1120">
        <f t="shared" si="8"/>
        <v>0</v>
      </c>
      <c r="U15" s="389"/>
      <c r="V15" s="388"/>
      <c r="W15" s="446"/>
      <c r="X15" s="446"/>
      <c r="Y15" s="390"/>
      <c r="Z15" s="101">
        <f t="shared" si="0"/>
        <v>0</v>
      </c>
      <c r="AA15" s="373">
        <f>IF(F15="y",((((W15+X15+Y15+Z15)*T15)*Rates!$C$379))/12,(((W15+X15+Y15+Z15)*T15)/12))</f>
        <v>0</v>
      </c>
      <c r="AB15" s="254">
        <f t="shared" si="9"/>
        <v>0</v>
      </c>
      <c r="AC15" s="33">
        <f t="shared" si="1"/>
        <v>0</v>
      </c>
      <c r="AD15" s="427">
        <f t="shared" si="2"/>
        <v>0</v>
      </c>
      <c r="AE15" s="38">
        <v>6</v>
      </c>
      <c r="AF15" s="387"/>
      <c r="AG15" s="1070"/>
      <c r="AH15" s="387"/>
      <c r="AI15" s="1070"/>
      <c r="AJ15" s="387"/>
      <c r="AK15" s="1070"/>
      <c r="AL15" s="428"/>
      <c r="AM15" s="428"/>
      <c r="AN15" s="623"/>
      <c r="AO15" s="267"/>
      <c r="AP15" s="267"/>
      <c r="AQ15" s="267"/>
      <c r="AR15" s="267"/>
      <c r="AS15" s="267"/>
      <c r="AT15" s="267"/>
      <c r="AU15" s="267"/>
    </row>
    <row r="16" spans="1:54" ht="25.5" customHeight="1" x14ac:dyDescent="0.2">
      <c r="A16" s="38">
        <v>7</v>
      </c>
      <c r="B16" s="379"/>
      <c r="C16" s="495"/>
      <c r="D16" s="495"/>
      <c r="E16" s="505"/>
      <c r="F16" s="387"/>
      <c r="G16" s="133"/>
      <c r="H16" s="1120">
        <f t="shared" si="3"/>
        <v>0</v>
      </c>
      <c r="I16" s="389"/>
      <c r="J16" s="388"/>
      <c r="K16" s="446"/>
      <c r="L16" s="446"/>
      <c r="M16" s="373">
        <f>IF(F16="y",(((K16+L16)*Rates!$I$362))/12,((K16+L16)/12))</f>
        <v>0</v>
      </c>
      <c r="N16" s="485">
        <f t="shared" si="4"/>
        <v>0</v>
      </c>
      <c r="O16" s="254">
        <f t="shared" si="5"/>
        <v>0</v>
      </c>
      <c r="P16" s="355">
        <f t="shared" si="6"/>
        <v>0</v>
      </c>
      <c r="Q16" s="32">
        <f t="shared" si="7"/>
        <v>0</v>
      </c>
      <c r="R16" s="12"/>
      <c r="S16" s="391"/>
      <c r="T16" s="1120">
        <f t="shared" si="8"/>
        <v>0</v>
      </c>
      <c r="U16" s="389"/>
      <c r="V16" s="388"/>
      <c r="W16" s="446"/>
      <c r="X16" s="446"/>
      <c r="Y16" s="390"/>
      <c r="Z16" s="101">
        <f t="shared" si="0"/>
        <v>0</v>
      </c>
      <c r="AA16" s="373">
        <f>IF(F16="y",((((W16+X16+Y16+Z16)*T16)*Rates!$C$379))/12,(((W16+X16+Y16+Z16)*T16)/12))</f>
        <v>0</v>
      </c>
      <c r="AB16" s="254">
        <f t="shared" si="9"/>
        <v>0</v>
      </c>
      <c r="AC16" s="33">
        <f t="shared" si="1"/>
        <v>0</v>
      </c>
      <c r="AD16" s="427">
        <f t="shared" si="2"/>
        <v>0</v>
      </c>
      <c r="AE16" s="38">
        <v>7</v>
      </c>
      <c r="AF16" s="387"/>
      <c r="AG16" s="1070"/>
      <c r="AH16" s="387"/>
      <c r="AI16" s="1070"/>
      <c r="AJ16" s="387"/>
      <c r="AK16" s="1070"/>
      <c r="AL16" s="428"/>
      <c r="AM16" s="428"/>
      <c r="AN16" s="623"/>
      <c r="AO16" s="267"/>
      <c r="AP16" s="267"/>
      <c r="AQ16" s="267"/>
      <c r="AR16" s="267"/>
      <c r="AS16" s="267"/>
      <c r="AT16" s="267"/>
      <c r="AU16" s="267"/>
    </row>
    <row r="17" spans="1:47" ht="25.5" customHeight="1" x14ac:dyDescent="0.2">
      <c r="A17" s="38">
        <v>8</v>
      </c>
      <c r="B17" s="379"/>
      <c r="C17" s="495"/>
      <c r="D17" s="495"/>
      <c r="E17" s="505"/>
      <c r="F17" s="387"/>
      <c r="G17" s="133"/>
      <c r="H17" s="1120">
        <f t="shared" si="3"/>
        <v>0</v>
      </c>
      <c r="I17" s="389"/>
      <c r="J17" s="388"/>
      <c r="K17" s="446"/>
      <c r="L17" s="446"/>
      <c r="M17" s="373">
        <f>IF(F17="y",(((K17+L17)*Rates!$I$362))/12,((K17+L17)/12))</f>
        <v>0</v>
      </c>
      <c r="N17" s="485">
        <f t="shared" si="4"/>
        <v>0</v>
      </c>
      <c r="O17" s="254">
        <f t="shared" si="5"/>
        <v>0</v>
      </c>
      <c r="P17" s="355">
        <f t="shared" si="6"/>
        <v>0</v>
      </c>
      <c r="Q17" s="32">
        <f t="shared" si="7"/>
        <v>0</v>
      </c>
      <c r="R17" s="12"/>
      <c r="S17" s="391"/>
      <c r="T17" s="1120">
        <f t="shared" si="8"/>
        <v>0</v>
      </c>
      <c r="U17" s="389"/>
      <c r="V17" s="388"/>
      <c r="W17" s="446"/>
      <c r="X17" s="446"/>
      <c r="Y17" s="390"/>
      <c r="Z17" s="101">
        <f t="shared" si="0"/>
        <v>0</v>
      </c>
      <c r="AA17" s="373">
        <f>IF(F17="y",((((W17+X17+Y17+Z17)*T17)*Rates!$C$379))/12,(((W17+X17+Y17+Z17)*T17)/12))</f>
        <v>0</v>
      </c>
      <c r="AB17" s="254">
        <f t="shared" si="9"/>
        <v>0</v>
      </c>
      <c r="AC17" s="33">
        <f t="shared" si="1"/>
        <v>0</v>
      </c>
      <c r="AD17" s="427">
        <f t="shared" si="2"/>
        <v>0</v>
      </c>
      <c r="AE17" s="38">
        <v>8</v>
      </c>
      <c r="AF17" s="387"/>
      <c r="AG17" s="1070"/>
      <c r="AH17" s="387"/>
      <c r="AI17" s="1070"/>
      <c r="AJ17" s="387"/>
      <c r="AK17" s="1070"/>
      <c r="AL17" s="428"/>
      <c r="AM17" s="428"/>
      <c r="AN17" s="623"/>
      <c r="AO17" s="267"/>
      <c r="AP17" s="267"/>
      <c r="AQ17" s="267"/>
      <c r="AR17" s="267"/>
      <c r="AS17" s="267"/>
      <c r="AT17" s="267"/>
      <c r="AU17" s="267"/>
    </row>
    <row r="18" spans="1:47" ht="25.5" customHeight="1" x14ac:dyDescent="0.2">
      <c r="A18" s="38">
        <v>9</v>
      </c>
      <c r="B18" s="379"/>
      <c r="C18" s="495"/>
      <c r="D18" s="495"/>
      <c r="E18" s="505"/>
      <c r="F18" s="387"/>
      <c r="G18" s="133"/>
      <c r="H18" s="1120">
        <f t="shared" si="3"/>
        <v>0</v>
      </c>
      <c r="I18" s="389"/>
      <c r="J18" s="388"/>
      <c r="K18" s="446"/>
      <c r="L18" s="446"/>
      <c r="M18" s="373">
        <f>IF(F18="y",(((K18+L18)*Rates!$I$362))/12,((K18+L18)/12))</f>
        <v>0</v>
      </c>
      <c r="N18" s="485">
        <f t="shared" si="4"/>
        <v>0</v>
      </c>
      <c r="O18" s="254">
        <f t="shared" si="5"/>
        <v>0</v>
      </c>
      <c r="P18" s="355">
        <f t="shared" si="6"/>
        <v>0</v>
      </c>
      <c r="Q18" s="32">
        <f t="shared" si="7"/>
        <v>0</v>
      </c>
      <c r="R18" s="12"/>
      <c r="S18" s="391"/>
      <c r="T18" s="1120">
        <f t="shared" si="8"/>
        <v>0</v>
      </c>
      <c r="U18" s="389"/>
      <c r="V18" s="388"/>
      <c r="W18" s="446"/>
      <c r="X18" s="446"/>
      <c r="Y18" s="390"/>
      <c r="Z18" s="101">
        <f t="shared" si="0"/>
        <v>0</v>
      </c>
      <c r="AA18" s="373">
        <f>IF(F18="y",((((W18+X18+Y18+Z18)*T18)*Rates!$C$379))/12,(((W18+X18+Y18+Z18)*T18)/12))</f>
        <v>0</v>
      </c>
      <c r="AB18" s="254">
        <f t="shared" si="9"/>
        <v>0</v>
      </c>
      <c r="AC18" s="33">
        <f t="shared" si="1"/>
        <v>0</v>
      </c>
      <c r="AD18" s="427">
        <f t="shared" si="2"/>
        <v>0</v>
      </c>
      <c r="AE18" s="38">
        <v>9</v>
      </c>
      <c r="AF18" s="387"/>
      <c r="AG18" s="1070"/>
      <c r="AH18" s="387"/>
      <c r="AI18" s="1070"/>
      <c r="AJ18" s="387"/>
      <c r="AK18" s="1070"/>
      <c r="AL18" s="428"/>
      <c r="AM18" s="428"/>
      <c r="AN18" s="623"/>
      <c r="AO18" s="267"/>
      <c r="AP18" s="267"/>
      <c r="AQ18" s="267"/>
      <c r="AR18" s="267"/>
      <c r="AS18" s="267"/>
      <c r="AT18" s="267"/>
      <c r="AU18" s="267"/>
    </row>
    <row r="19" spans="1:47" ht="26.25" customHeight="1" x14ac:dyDescent="0.2">
      <c r="A19" s="38">
        <v>10</v>
      </c>
      <c r="B19" s="379"/>
      <c r="C19" s="495"/>
      <c r="D19" s="495"/>
      <c r="E19" s="505"/>
      <c r="F19" s="387"/>
      <c r="G19" s="133"/>
      <c r="H19" s="1120">
        <f t="shared" si="3"/>
        <v>0</v>
      </c>
      <c r="I19" s="389"/>
      <c r="J19" s="388"/>
      <c r="K19" s="446"/>
      <c r="L19" s="446"/>
      <c r="M19" s="373">
        <f>IF(F19="y",(((K19+L19)*Rates!$I$362))/12,((K19+L19)/12))</f>
        <v>0</v>
      </c>
      <c r="N19" s="485">
        <f t="shared" si="4"/>
        <v>0</v>
      </c>
      <c r="O19" s="254">
        <f t="shared" si="5"/>
        <v>0</v>
      </c>
      <c r="P19" s="355">
        <f t="shared" si="6"/>
        <v>0</v>
      </c>
      <c r="Q19" s="32">
        <f t="shared" si="7"/>
        <v>0</v>
      </c>
      <c r="R19" s="12"/>
      <c r="S19" s="391"/>
      <c r="T19" s="1120">
        <f t="shared" si="8"/>
        <v>0</v>
      </c>
      <c r="U19" s="389"/>
      <c r="V19" s="388"/>
      <c r="W19" s="446"/>
      <c r="X19" s="446"/>
      <c r="Y19" s="390"/>
      <c r="Z19" s="101">
        <f t="shared" si="0"/>
        <v>0</v>
      </c>
      <c r="AA19" s="373">
        <f>IF(F19="y",((((W19+X19+Y19+Z19)*T19)*Rates!$C$379))/12,(((W19+X19+Y19+Z19)*T19)/12))</f>
        <v>0</v>
      </c>
      <c r="AB19" s="254">
        <f t="shared" si="9"/>
        <v>0</v>
      </c>
      <c r="AC19" s="33">
        <f t="shared" si="1"/>
        <v>0</v>
      </c>
      <c r="AD19" s="427">
        <f t="shared" si="2"/>
        <v>0</v>
      </c>
      <c r="AE19" s="38">
        <v>10</v>
      </c>
      <c r="AF19" s="387"/>
      <c r="AG19" s="1070"/>
      <c r="AH19" s="387"/>
      <c r="AI19" s="1070"/>
      <c r="AJ19" s="387"/>
      <c r="AK19" s="1070"/>
      <c r="AL19" s="428"/>
      <c r="AM19" s="428"/>
      <c r="AN19" s="623"/>
      <c r="AO19" s="267"/>
      <c r="AP19" s="267"/>
      <c r="AQ19" s="267"/>
      <c r="AR19" s="267"/>
      <c r="AS19" s="267"/>
      <c r="AT19" s="267"/>
      <c r="AU19" s="267"/>
    </row>
    <row r="20" spans="1:47" ht="26.25" customHeight="1" x14ac:dyDescent="0.2">
      <c r="A20" s="38">
        <v>11</v>
      </c>
      <c r="B20" s="379"/>
      <c r="C20" s="495"/>
      <c r="D20" s="495"/>
      <c r="E20" s="505"/>
      <c r="F20" s="387"/>
      <c r="G20" s="133"/>
      <c r="H20" s="1120">
        <f t="shared" si="3"/>
        <v>0</v>
      </c>
      <c r="I20" s="389"/>
      <c r="J20" s="388"/>
      <c r="K20" s="446"/>
      <c r="L20" s="446"/>
      <c r="M20" s="373">
        <f>IF(F20="y",(((K20+L20)*Rates!$I$362))/12,((K20+L20)/12))</f>
        <v>0</v>
      </c>
      <c r="N20" s="485">
        <f t="shared" si="4"/>
        <v>0</v>
      </c>
      <c r="O20" s="254">
        <f t="shared" si="5"/>
        <v>0</v>
      </c>
      <c r="P20" s="355">
        <f t="shared" si="6"/>
        <v>0</v>
      </c>
      <c r="Q20" s="32">
        <f t="shared" si="7"/>
        <v>0</v>
      </c>
      <c r="R20" s="12"/>
      <c r="S20" s="391"/>
      <c r="T20" s="1120">
        <f t="shared" si="8"/>
        <v>0</v>
      </c>
      <c r="U20" s="389"/>
      <c r="V20" s="388"/>
      <c r="W20" s="446"/>
      <c r="X20" s="446"/>
      <c r="Y20" s="390"/>
      <c r="Z20" s="101">
        <f t="shared" si="0"/>
        <v>0</v>
      </c>
      <c r="AA20" s="373">
        <f>IF(F20="y",((((W20+X20+Y20+Z20)*T20)*Rates!$C$379))/12,(((W20+X20+Y20+Z20)*T20)/12))</f>
        <v>0</v>
      </c>
      <c r="AB20" s="254">
        <f t="shared" si="9"/>
        <v>0</v>
      </c>
      <c r="AC20" s="33">
        <f t="shared" si="1"/>
        <v>0</v>
      </c>
      <c r="AD20" s="427">
        <f t="shared" si="2"/>
        <v>0</v>
      </c>
      <c r="AE20" s="38">
        <v>11</v>
      </c>
      <c r="AF20" s="387"/>
      <c r="AG20" s="1070"/>
      <c r="AH20" s="387"/>
      <c r="AI20" s="1070"/>
      <c r="AJ20" s="387"/>
      <c r="AK20" s="1070"/>
      <c r="AL20" s="428"/>
      <c r="AM20" s="428"/>
      <c r="AN20" s="623"/>
      <c r="AO20" s="267"/>
      <c r="AP20" s="267"/>
      <c r="AQ20" s="267"/>
      <c r="AR20" s="267"/>
      <c r="AS20" s="267"/>
      <c r="AT20" s="267"/>
      <c r="AU20" s="267"/>
    </row>
    <row r="21" spans="1:47" ht="26.25" customHeight="1" x14ac:dyDescent="0.2">
      <c r="A21" s="38">
        <v>12</v>
      </c>
      <c r="B21" s="379"/>
      <c r="C21" s="495"/>
      <c r="D21" s="495"/>
      <c r="E21" s="505"/>
      <c r="F21" s="387"/>
      <c r="G21" s="133"/>
      <c r="H21" s="1120">
        <f t="shared" si="3"/>
        <v>0</v>
      </c>
      <c r="I21" s="389"/>
      <c r="J21" s="388"/>
      <c r="K21" s="446"/>
      <c r="L21" s="446"/>
      <c r="M21" s="373">
        <f>IF(F21="y",(((K21+L21)*Rates!$I$362))/12,((K21+L21)/12))</f>
        <v>0</v>
      </c>
      <c r="N21" s="485">
        <f t="shared" si="4"/>
        <v>0</v>
      </c>
      <c r="O21" s="254">
        <f t="shared" si="5"/>
        <v>0</v>
      </c>
      <c r="P21" s="355">
        <f t="shared" si="6"/>
        <v>0</v>
      </c>
      <c r="Q21" s="32">
        <f t="shared" si="7"/>
        <v>0</v>
      </c>
      <c r="R21" s="12"/>
      <c r="S21" s="391"/>
      <c r="T21" s="1120">
        <f t="shared" si="8"/>
        <v>0</v>
      </c>
      <c r="U21" s="389"/>
      <c r="V21" s="388"/>
      <c r="W21" s="446"/>
      <c r="X21" s="446"/>
      <c r="Y21" s="390"/>
      <c r="Z21" s="101">
        <f t="shared" si="0"/>
        <v>0</v>
      </c>
      <c r="AA21" s="373">
        <f>IF(F21="y",((((W21+X21+Y21+Z21)*T21)*Rates!$C$379))/12,(((W21+X21+Y21+Z21)*T21)/12))</f>
        <v>0</v>
      </c>
      <c r="AB21" s="254">
        <f t="shared" si="9"/>
        <v>0</v>
      </c>
      <c r="AC21" s="33">
        <f t="shared" si="1"/>
        <v>0</v>
      </c>
      <c r="AD21" s="427">
        <f t="shared" si="2"/>
        <v>0</v>
      </c>
      <c r="AE21" s="38">
        <v>12</v>
      </c>
      <c r="AF21" s="387"/>
      <c r="AG21" s="1070"/>
      <c r="AH21" s="387"/>
      <c r="AI21" s="1070"/>
      <c r="AJ21" s="387"/>
      <c r="AK21" s="1070"/>
      <c r="AL21" s="428"/>
      <c r="AM21" s="428"/>
      <c r="AN21" s="623"/>
      <c r="AO21" s="267"/>
      <c r="AP21" s="267"/>
      <c r="AQ21" s="267"/>
      <c r="AR21" s="267"/>
      <c r="AS21" s="267"/>
      <c r="AT21" s="267"/>
      <c r="AU21" s="267"/>
    </row>
    <row r="22" spans="1:47" ht="26.25" customHeight="1" x14ac:dyDescent="0.2">
      <c r="A22" s="38">
        <v>13</v>
      </c>
      <c r="B22" s="379"/>
      <c r="C22" s="495"/>
      <c r="D22" s="495"/>
      <c r="E22" s="505"/>
      <c r="F22" s="387"/>
      <c r="G22" s="133"/>
      <c r="H22" s="1120">
        <f t="shared" si="3"/>
        <v>0</v>
      </c>
      <c r="I22" s="389"/>
      <c r="J22" s="388"/>
      <c r="K22" s="446"/>
      <c r="L22" s="446"/>
      <c r="M22" s="373">
        <f>IF(F22="y",(((K22+L22)*Rates!$I$362))/12,((K22+L22)/12))</f>
        <v>0</v>
      </c>
      <c r="N22" s="485">
        <f t="shared" si="4"/>
        <v>0</v>
      </c>
      <c r="O22" s="254">
        <f t="shared" si="5"/>
        <v>0</v>
      </c>
      <c r="P22" s="355">
        <f t="shared" si="6"/>
        <v>0</v>
      </c>
      <c r="Q22" s="32">
        <f t="shared" si="7"/>
        <v>0</v>
      </c>
      <c r="R22" s="12"/>
      <c r="S22" s="391"/>
      <c r="T22" s="1120">
        <f t="shared" si="8"/>
        <v>0</v>
      </c>
      <c r="U22" s="389"/>
      <c r="V22" s="388"/>
      <c r="W22" s="446"/>
      <c r="X22" s="446"/>
      <c r="Y22" s="390"/>
      <c r="Z22" s="101">
        <f t="shared" si="0"/>
        <v>0</v>
      </c>
      <c r="AA22" s="373">
        <f>IF(F22="y",((((W22+X22+Y22+Z22)*T22)*Rates!$C$379))/12,(((W22+X22+Y22+Z22)*T22)/12))</f>
        <v>0</v>
      </c>
      <c r="AB22" s="254">
        <f t="shared" si="9"/>
        <v>0</v>
      </c>
      <c r="AC22" s="33">
        <f t="shared" si="1"/>
        <v>0</v>
      </c>
      <c r="AD22" s="427">
        <f t="shared" si="2"/>
        <v>0</v>
      </c>
      <c r="AE22" s="38">
        <v>13</v>
      </c>
      <c r="AF22" s="387"/>
      <c r="AG22" s="1070"/>
      <c r="AH22" s="387"/>
      <c r="AI22" s="1070"/>
      <c r="AJ22" s="387"/>
      <c r="AK22" s="1070"/>
      <c r="AL22" s="428"/>
      <c r="AM22" s="428"/>
      <c r="AN22" s="623"/>
      <c r="AO22" s="267"/>
      <c r="AP22" s="267"/>
      <c r="AQ22" s="267"/>
      <c r="AR22" s="267"/>
      <c r="AS22" s="267"/>
      <c r="AT22" s="267"/>
      <c r="AU22" s="267"/>
    </row>
    <row r="23" spans="1:47" ht="26.25" customHeight="1" x14ac:dyDescent="0.2">
      <c r="A23" s="38">
        <v>14</v>
      </c>
      <c r="B23" s="379"/>
      <c r="C23" s="495"/>
      <c r="D23" s="495"/>
      <c r="E23" s="505"/>
      <c r="F23" s="387"/>
      <c r="G23" s="133"/>
      <c r="H23" s="1120">
        <f t="shared" si="3"/>
        <v>0</v>
      </c>
      <c r="I23" s="389"/>
      <c r="J23" s="388"/>
      <c r="K23" s="446"/>
      <c r="L23" s="446"/>
      <c r="M23" s="373">
        <f>IF(F23="y",(((K23+L23)*Rates!$I$362))/12,((K23+L23)/12))</f>
        <v>0</v>
      </c>
      <c r="N23" s="485">
        <f t="shared" si="4"/>
        <v>0</v>
      </c>
      <c r="O23" s="254">
        <f t="shared" si="5"/>
        <v>0</v>
      </c>
      <c r="P23" s="355">
        <f>O23*$P$9</f>
        <v>0</v>
      </c>
      <c r="Q23" s="32">
        <f t="shared" si="7"/>
        <v>0</v>
      </c>
      <c r="R23" s="12"/>
      <c r="S23" s="391"/>
      <c r="T23" s="1120">
        <f t="shared" si="8"/>
        <v>0</v>
      </c>
      <c r="U23" s="389"/>
      <c r="V23" s="388"/>
      <c r="W23" s="446"/>
      <c r="X23" s="446"/>
      <c r="Y23" s="390"/>
      <c r="Z23" s="101">
        <f t="shared" si="0"/>
        <v>0</v>
      </c>
      <c r="AA23" s="373">
        <f>IF(F23="y",((((W23+X23+Y23+Z23)*T23)*Rates!$C$379))/12,(((W23+X23+Y23+Z23)*T23)/12))</f>
        <v>0</v>
      </c>
      <c r="AB23" s="254">
        <f t="shared" si="9"/>
        <v>0</v>
      </c>
      <c r="AC23" s="33">
        <f t="shared" si="1"/>
        <v>0</v>
      </c>
      <c r="AD23" s="427">
        <f t="shared" si="2"/>
        <v>0</v>
      </c>
      <c r="AE23" s="38">
        <v>14</v>
      </c>
      <c r="AF23" s="387"/>
      <c r="AG23" s="1070"/>
      <c r="AH23" s="387"/>
      <c r="AI23" s="1070"/>
      <c r="AJ23" s="387"/>
      <c r="AK23" s="1070"/>
      <c r="AL23" s="428"/>
      <c r="AM23" s="428"/>
      <c r="AN23" s="623"/>
      <c r="AO23" s="267"/>
      <c r="AP23" s="267"/>
      <c r="AQ23" s="267"/>
      <c r="AR23" s="267"/>
      <c r="AS23" s="267"/>
      <c r="AT23" s="267"/>
      <c r="AU23" s="267"/>
    </row>
    <row r="24" spans="1:47" ht="27" customHeight="1" x14ac:dyDescent="0.2">
      <c r="A24" s="38">
        <v>15</v>
      </c>
      <c r="B24" s="379"/>
      <c r="C24" s="495"/>
      <c r="D24" s="495"/>
      <c r="E24" s="505"/>
      <c r="F24" s="387"/>
      <c r="G24" s="133"/>
      <c r="H24" s="1120">
        <f t="shared" si="3"/>
        <v>0</v>
      </c>
      <c r="I24" s="389"/>
      <c r="J24" s="388"/>
      <c r="K24" s="446"/>
      <c r="L24" s="446"/>
      <c r="M24" s="373">
        <f>IF(F24="y",(((K24+L24)*Rates!$I$362))/12,((K24+L24)/12))</f>
        <v>0</v>
      </c>
      <c r="N24" s="485">
        <f t="shared" si="4"/>
        <v>0</v>
      </c>
      <c r="O24" s="254">
        <f t="shared" si="5"/>
        <v>0</v>
      </c>
      <c r="P24" s="355">
        <f t="shared" si="6"/>
        <v>0</v>
      </c>
      <c r="Q24" s="32">
        <f t="shared" si="7"/>
        <v>0</v>
      </c>
      <c r="R24" s="12"/>
      <c r="S24" s="391"/>
      <c r="T24" s="1120">
        <f t="shared" si="8"/>
        <v>0</v>
      </c>
      <c r="U24" s="389"/>
      <c r="V24" s="388"/>
      <c r="W24" s="446"/>
      <c r="X24" s="446"/>
      <c r="Y24" s="390"/>
      <c r="Z24" s="101">
        <f t="shared" si="0"/>
        <v>0</v>
      </c>
      <c r="AA24" s="373">
        <f>IF(F24="y",((((W24+X24+Y24+Z24)*T24)*Rates!$C$379))/12,(((W24+X24+Y24+Z24)*T24)/12))</f>
        <v>0</v>
      </c>
      <c r="AB24" s="254">
        <f t="shared" si="9"/>
        <v>0</v>
      </c>
      <c r="AC24" s="33">
        <f t="shared" si="1"/>
        <v>0</v>
      </c>
      <c r="AD24" s="427">
        <f t="shared" si="2"/>
        <v>0</v>
      </c>
      <c r="AE24" s="38">
        <v>15</v>
      </c>
      <c r="AF24" s="387"/>
      <c r="AG24" s="1070"/>
      <c r="AH24" s="387"/>
      <c r="AI24" s="1070"/>
      <c r="AJ24" s="387"/>
      <c r="AK24" s="1070"/>
      <c r="AL24" s="428"/>
      <c r="AM24" s="428"/>
      <c r="AN24" s="623"/>
      <c r="AO24" s="267"/>
      <c r="AP24" s="267"/>
      <c r="AQ24" s="267"/>
      <c r="AR24" s="267"/>
      <c r="AS24" s="267"/>
      <c r="AT24" s="267"/>
      <c r="AU24" s="267"/>
    </row>
    <row r="25" spans="1:47" ht="27" hidden="1" customHeight="1" x14ac:dyDescent="0.2">
      <c r="A25" s="38">
        <v>16</v>
      </c>
      <c r="B25" s="379"/>
      <c r="C25" s="495"/>
      <c r="D25" s="495"/>
      <c r="E25" s="505"/>
      <c r="F25" s="387"/>
      <c r="G25" s="133"/>
      <c r="H25" s="1120">
        <f t="shared" si="3"/>
        <v>0</v>
      </c>
      <c r="I25" s="389"/>
      <c r="J25" s="388"/>
      <c r="K25" s="446"/>
      <c r="L25" s="446"/>
      <c r="M25" s="373">
        <f>IF(F25="y",(((K25+L25)*Rates!$I$362))/12,((K25+L25)/12))</f>
        <v>0</v>
      </c>
      <c r="N25" s="485">
        <f t="shared" si="4"/>
        <v>0</v>
      </c>
      <c r="O25" s="254">
        <f t="shared" si="5"/>
        <v>0</v>
      </c>
      <c r="P25" s="355">
        <f t="shared" si="6"/>
        <v>0</v>
      </c>
      <c r="Q25" s="32">
        <f t="shared" si="7"/>
        <v>0</v>
      </c>
      <c r="R25" s="12"/>
      <c r="S25" s="391"/>
      <c r="T25" s="1120">
        <f t="shared" si="8"/>
        <v>0</v>
      </c>
      <c r="U25" s="389"/>
      <c r="V25" s="388"/>
      <c r="W25" s="446"/>
      <c r="X25" s="446"/>
      <c r="Y25" s="390"/>
      <c r="Z25" s="101">
        <f t="shared" si="0"/>
        <v>0</v>
      </c>
      <c r="AA25" s="373">
        <f>IF(F25="y",((((W25+X25+Y25+Z25)*T25)*Rates!$C$379))/12,(((W25+X25+Y25+Z25)*T25)/12))</f>
        <v>0</v>
      </c>
      <c r="AB25" s="254">
        <f t="shared" si="9"/>
        <v>0</v>
      </c>
      <c r="AC25" s="33">
        <f t="shared" si="1"/>
        <v>0</v>
      </c>
      <c r="AD25" s="427">
        <f t="shared" si="2"/>
        <v>0</v>
      </c>
      <c r="AE25" s="38">
        <v>16</v>
      </c>
      <c r="AF25" s="387"/>
      <c r="AG25" s="1070"/>
      <c r="AH25" s="387"/>
      <c r="AI25" s="1070"/>
      <c r="AJ25" s="387"/>
      <c r="AK25" s="1070"/>
      <c r="AL25" s="428"/>
      <c r="AM25" s="428"/>
      <c r="AN25" s="623"/>
      <c r="AO25" s="267"/>
      <c r="AP25" s="267"/>
      <c r="AQ25" s="267"/>
      <c r="AR25" s="267"/>
      <c r="AS25" s="267"/>
      <c r="AT25" s="267"/>
      <c r="AU25" s="267"/>
    </row>
    <row r="26" spans="1:47" ht="27" hidden="1" customHeight="1" x14ac:dyDescent="0.2">
      <c r="A26" s="38">
        <v>17</v>
      </c>
      <c r="B26" s="379"/>
      <c r="C26" s="495"/>
      <c r="D26" s="495"/>
      <c r="E26" s="505"/>
      <c r="F26" s="387"/>
      <c r="G26" s="133"/>
      <c r="H26" s="1120">
        <f t="shared" si="3"/>
        <v>0</v>
      </c>
      <c r="I26" s="389"/>
      <c r="J26" s="388"/>
      <c r="K26" s="446"/>
      <c r="L26" s="446"/>
      <c r="M26" s="373">
        <f>IF(F26="y",(((K26+L26)*Rates!$I$362))/12,((K26+L26)/12))</f>
        <v>0</v>
      </c>
      <c r="N26" s="485">
        <f t="shared" si="4"/>
        <v>0</v>
      </c>
      <c r="O26" s="254">
        <f t="shared" si="5"/>
        <v>0</v>
      </c>
      <c r="P26" s="355">
        <f t="shared" si="6"/>
        <v>0</v>
      </c>
      <c r="Q26" s="32">
        <f t="shared" si="7"/>
        <v>0</v>
      </c>
      <c r="R26" s="12"/>
      <c r="S26" s="391"/>
      <c r="T26" s="1120">
        <f t="shared" si="8"/>
        <v>0</v>
      </c>
      <c r="U26" s="389"/>
      <c r="V26" s="388"/>
      <c r="W26" s="446"/>
      <c r="X26" s="446"/>
      <c r="Y26" s="390"/>
      <c r="Z26" s="101">
        <f t="shared" si="0"/>
        <v>0</v>
      </c>
      <c r="AA26" s="373">
        <f>IF(F26="y",((((W26+X26+Y26+Z26)*T26)*Rates!$C$379))/12,(((W26+X26+Y26+Z26)*T26)/12))</f>
        <v>0</v>
      </c>
      <c r="AB26" s="254">
        <f t="shared" si="9"/>
        <v>0</v>
      </c>
      <c r="AC26" s="33">
        <f t="shared" si="1"/>
        <v>0</v>
      </c>
      <c r="AD26" s="427">
        <f t="shared" si="2"/>
        <v>0</v>
      </c>
      <c r="AE26" s="38">
        <v>17</v>
      </c>
      <c r="AF26" s="387"/>
      <c r="AG26" s="1070"/>
      <c r="AH26" s="387"/>
      <c r="AI26" s="1070"/>
      <c r="AJ26" s="387"/>
      <c r="AK26" s="1070"/>
      <c r="AL26" s="428"/>
      <c r="AM26" s="428"/>
      <c r="AN26" s="623"/>
      <c r="AO26" s="267"/>
      <c r="AP26" s="267"/>
      <c r="AQ26" s="267"/>
      <c r="AR26" s="267"/>
      <c r="AS26" s="267"/>
      <c r="AT26" s="267"/>
      <c r="AU26" s="267"/>
    </row>
    <row r="27" spans="1:47" ht="27" hidden="1" customHeight="1" x14ac:dyDescent="0.2">
      <c r="A27" s="38">
        <v>18</v>
      </c>
      <c r="B27" s="379"/>
      <c r="C27" s="495"/>
      <c r="D27" s="495"/>
      <c r="E27" s="505"/>
      <c r="F27" s="387"/>
      <c r="G27" s="133"/>
      <c r="H27" s="1120">
        <f t="shared" si="3"/>
        <v>0</v>
      </c>
      <c r="I27" s="389"/>
      <c r="J27" s="388"/>
      <c r="K27" s="446"/>
      <c r="L27" s="446"/>
      <c r="M27" s="373">
        <f>IF(F27="y",(((K27+L27)*Rates!$I$362))/12,((K27+L27)/12))</f>
        <v>0</v>
      </c>
      <c r="N27" s="485">
        <f t="shared" si="4"/>
        <v>0</v>
      </c>
      <c r="O27" s="254">
        <f t="shared" si="5"/>
        <v>0</v>
      </c>
      <c r="P27" s="355">
        <f t="shared" si="6"/>
        <v>0</v>
      </c>
      <c r="Q27" s="32">
        <f t="shared" si="7"/>
        <v>0</v>
      </c>
      <c r="R27" s="12"/>
      <c r="S27" s="391"/>
      <c r="T27" s="1120">
        <f t="shared" si="8"/>
        <v>0</v>
      </c>
      <c r="U27" s="389"/>
      <c r="V27" s="388"/>
      <c r="W27" s="446"/>
      <c r="X27" s="446"/>
      <c r="Y27" s="390"/>
      <c r="Z27" s="101">
        <f t="shared" si="0"/>
        <v>0</v>
      </c>
      <c r="AA27" s="373">
        <f>IF(F27="y",((((W27+X27+Y27+Z27)*T27)*Rates!$C$379))/12,(((W27+X27+Y27+Z27)*T27)/12))</f>
        <v>0</v>
      </c>
      <c r="AB27" s="254">
        <f t="shared" si="9"/>
        <v>0</v>
      </c>
      <c r="AC27" s="33">
        <f t="shared" si="1"/>
        <v>0</v>
      </c>
      <c r="AD27" s="427">
        <f t="shared" si="2"/>
        <v>0</v>
      </c>
      <c r="AE27" s="38">
        <v>18</v>
      </c>
      <c r="AF27" s="387"/>
      <c r="AG27" s="1070"/>
      <c r="AH27" s="387"/>
      <c r="AI27" s="1070"/>
      <c r="AJ27" s="387"/>
      <c r="AK27" s="1070"/>
      <c r="AL27" s="428"/>
      <c r="AM27" s="428"/>
      <c r="AN27" s="623"/>
      <c r="AO27" s="267"/>
      <c r="AP27" s="267"/>
      <c r="AQ27" s="267"/>
      <c r="AR27" s="267"/>
      <c r="AS27" s="267"/>
      <c r="AT27" s="267"/>
      <c r="AU27" s="267"/>
    </row>
    <row r="28" spans="1:47" ht="27" hidden="1" customHeight="1" x14ac:dyDescent="0.2">
      <c r="A28" s="38">
        <v>19</v>
      </c>
      <c r="B28" s="379"/>
      <c r="C28" s="495"/>
      <c r="D28" s="495"/>
      <c r="E28" s="505"/>
      <c r="F28" s="387"/>
      <c r="G28" s="133"/>
      <c r="H28" s="1120">
        <f t="shared" si="3"/>
        <v>0</v>
      </c>
      <c r="I28" s="389"/>
      <c r="J28" s="388"/>
      <c r="K28" s="446"/>
      <c r="L28" s="446"/>
      <c r="M28" s="373">
        <f>IF(F28="y",(((K28+L28)*Rates!$I$362))/12,((K28+L28)/12))</f>
        <v>0</v>
      </c>
      <c r="N28" s="485">
        <f t="shared" si="4"/>
        <v>0</v>
      </c>
      <c r="O28" s="254">
        <f t="shared" si="5"/>
        <v>0</v>
      </c>
      <c r="P28" s="355">
        <f t="shared" si="6"/>
        <v>0</v>
      </c>
      <c r="Q28" s="32">
        <f t="shared" si="7"/>
        <v>0</v>
      </c>
      <c r="R28" s="12"/>
      <c r="S28" s="391"/>
      <c r="T28" s="1120">
        <f t="shared" si="8"/>
        <v>0</v>
      </c>
      <c r="U28" s="389"/>
      <c r="V28" s="388"/>
      <c r="W28" s="446"/>
      <c r="X28" s="446"/>
      <c r="Y28" s="390"/>
      <c r="Z28" s="101">
        <f t="shared" si="0"/>
        <v>0</v>
      </c>
      <c r="AA28" s="373">
        <f>IF(F28="y",((((W28+X28+Y28+Z28)*T28)*Rates!$C$379))/12,(((W28+X28+Y28+Z28)*T28)/12))</f>
        <v>0</v>
      </c>
      <c r="AB28" s="254">
        <f t="shared" si="9"/>
        <v>0</v>
      </c>
      <c r="AC28" s="33">
        <f t="shared" si="1"/>
        <v>0</v>
      </c>
      <c r="AD28" s="427">
        <f t="shared" si="2"/>
        <v>0</v>
      </c>
      <c r="AE28" s="38">
        <v>19</v>
      </c>
      <c r="AF28" s="387"/>
      <c r="AG28" s="1070"/>
      <c r="AH28" s="387"/>
      <c r="AI28" s="1070"/>
      <c r="AJ28" s="387"/>
      <c r="AK28" s="1070"/>
      <c r="AL28" s="428"/>
      <c r="AM28" s="428"/>
      <c r="AN28" s="623"/>
      <c r="AO28" s="267"/>
      <c r="AP28" s="267"/>
      <c r="AQ28" s="267"/>
      <c r="AR28" s="267"/>
      <c r="AS28" s="267"/>
      <c r="AT28" s="267"/>
      <c r="AU28" s="267"/>
    </row>
    <row r="29" spans="1:47" ht="27" hidden="1" customHeight="1" x14ac:dyDescent="0.2">
      <c r="A29" s="38">
        <v>20</v>
      </c>
      <c r="B29" s="379"/>
      <c r="C29" s="495"/>
      <c r="D29" s="495"/>
      <c r="E29" s="505"/>
      <c r="F29" s="387"/>
      <c r="G29" s="133"/>
      <c r="H29" s="1120">
        <f t="shared" si="3"/>
        <v>0</v>
      </c>
      <c r="I29" s="389"/>
      <c r="J29" s="388"/>
      <c r="K29" s="446"/>
      <c r="L29" s="446"/>
      <c r="M29" s="373">
        <f>IF(F29="y",(((K29+L29)*Rates!$I$362))/12,((K29+L29)/12))</f>
        <v>0</v>
      </c>
      <c r="N29" s="485">
        <f t="shared" si="4"/>
        <v>0</v>
      </c>
      <c r="O29" s="254">
        <f t="shared" si="5"/>
        <v>0</v>
      </c>
      <c r="P29" s="355">
        <f t="shared" si="6"/>
        <v>0</v>
      </c>
      <c r="Q29" s="32">
        <f t="shared" si="7"/>
        <v>0</v>
      </c>
      <c r="R29" s="12"/>
      <c r="S29" s="391"/>
      <c r="T29" s="1120">
        <f t="shared" si="8"/>
        <v>0</v>
      </c>
      <c r="U29" s="389"/>
      <c r="V29" s="388"/>
      <c r="W29" s="446"/>
      <c r="X29" s="446"/>
      <c r="Y29" s="390"/>
      <c r="Z29" s="101">
        <f t="shared" si="0"/>
        <v>0</v>
      </c>
      <c r="AA29" s="373">
        <f>IF(F29="y",((((W29+X29+Y29+Z29)*T29)*Rates!$C$379))/12,(((W29+X29+Y29+Z29)*T29)/12))</f>
        <v>0</v>
      </c>
      <c r="AB29" s="254">
        <f t="shared" si="9"/>
        <v>0</v>
      </c>
      <c r="AC29" s="33">
        <f t="shared" si="1"/>
        <v>0</v>
      </c>
      <c r="AD29" s="427">
        <f t="shared" si="2"/>
        <v>0</v>
      </c>
      <c r="AE29" s="38">
        <v>20</v>
      </c>
      <c r="AF29" s="387"/>
      <c r="AG29" s="1070"/>
      <c r="AH29" s="387"/>
      <c r="AI29" s="1070"/>
      <c r="AJ29" s="387"/>
      <c r="AK29" s="1070"/>
      <c r="AL29" s="428"/>
      <c r="AM29" s="428"/>
      <c r="AN29" s="623"/>
      <c r="AO29" s="267"/>
      <c r="AP29" s="267"/>
      <c r="AQ29" s="267"/>
      <c r="AR29" s="267"/>
      <c r="AS29" s="267"/>
      <c r="AT29" s="267"/>
      <c r="AU29" s="267"/>
    </row>
    <row r="30" spans="1:47" ht="27" hidden="1" customHeight="1" x14ac:dyDescent="0.2">
      <c r="A30" s="38">
        <v>21</v>
      </c>
      <c r="B30" s="379"/>
      <c r="C30" s="495"/>
      <c r="D30" s="495"/>
      <c r="E30" s="505"/>
      <c r="F30" s="387"/>
      <c r="G30" s="133"/>
      <c r="H30" s="1120">
        <f t="shared" si="3"/>
        <v>0</v>
      </c>
      <c r="I30" s="389"/>
      <c r="J30" s="388"/>
      <c r="K30" s="446"/>
      <c r="L30" s="446"/>
      <c r="M30" s="373">
        <f>IF(F30="y",(((K30+L30)*Rates!$I$362))/12,((K30+L30)/12))</f>
        <v>0</v>
      </c>
      <c r="N30" s="485">
        <f t="shared" si="4"/>
        <v>0</v>
      </c>
      <c r="O30" s="254">
        <f t="shared" si="5"/>
        <v>0</v>
      </c>
      <c r="P30" s="355">
        <f t="shared" si="6"/>
        <v>0</v>
      </c>
      <c r="Q30" s="32">
        <f t="shared" si="7"/>
        <v>0</v>
      </c>
      <c r="R30" s="12"/>
      <c r="S30" s="391"/>
      <c r="T30" s="1120">
        <f t="shared" si="8"/>
        <v>0</v>
      </c>
      <c r="U30" s="389"/>
      <c r="V30" s="388"/>
      <c r="W30" s="446"/>
      <c r="X30" s="446"/>
      <c r="Y30" s="390"/>
      <c r="Z30" s="101">
        <f t="shared" si="0"/>
        <v>0</v>
      </c>
      <c r="AA30" s="373">
        <f>IF(F30="y",((((W30+X30+Y30+Z30)*T30)*Rates!$C$379))/12,(((W30+X30+Y30+Z30)*T30)/12))</f>
        <v>0</v>
      </c>
      <c r="AB30" s="254">
        <f t="shared" si="9"/>
        <v>0</v>
      </c>
      <c r="AC30" s="33">
        <f t="shared" si="1"/>
        <v>0</v>
      </c>
      <c r="AD30" s="427">
        <f t="shared" si="2"/>
        <v>0</v>
      </c>
      <c r="AE30" s="38">
        <v>21</v>
      </c>
      <c r="AF30" s="387"/>
      <c r="AG30" s="1070"/>
      <c r="AH30" s="387"/>
      <c r="AI30" s="1070"/>
      <c r="AJ30" s="387"/>
      <c r="AK30" s="1070"/>
      <c r="AL30" s="428"/>
      <c r="AM30" s="428"/>
      <c r="AN30" s="623"/>
      <c r="AO30" s="267"/>
      <c r="AP30" s="267"/>
      <c r="AQ30" s="267"/>
      <c r="AR30" s="267"/>
      <c r="AS30" s="267"/>
      <c r="AT30" s="267"/>
      <c r="AU30" s="267"/>
    </row>
    <row r="31" spans="1:47" ht="27" hidden="1" customHeight="1" x14ac:dyDescent="0.2">
      <c r="A31" s="38">
        <v>22</v>
      </c>
      <c r="B31" s="379"/>
      <c r="C31" s="495"/>
      <c r="D31" s="495"/>
      <c r="E31" s="505"/>
      <c r="F31" s="387"/>
      <c r="G31" s="133"/>
      <c r="H31" s="1120">
        <f t="shared" si="3"/>
        <v>0</v>
      </c>
      <c r="I31" s="389"/>
      <c r="J31" s="388"/>
      <c r="K31" s="446"/>
      <c r="L31" s="446"/>
      <c r="M31" s="373">
        <f>IF(F31="y",(((K31+L31)*Rates!$I$362))/12,((K31+L31)/12))</f>
        <v>0</v>
      </c>
      <c r="N31" s="485">
        <f t="shared" si="4"/>
        <v>0</v>
      </c>
      <c r="O31" s="254">
        <f t="shared" si="5"/>
        <v>0</v>
      </c>
      <c r="P31" s="355">
        <f t="shared" si="6"/>
        <v>0</v>
      </c>
      <c r="Q31" s="32">
        <f t="shared" si="7"/>
        <v>0</v>
      </c>
      <c r="R31" s="12"/>
      <c r="S31" s="391"/>
      <c r="T31" s="1120">
        <f t="shared" si="8"/>
        <v>0</v>
      </c>
      <c r="U31" s="389"/>
      <c r="V31" s="388"/>
      <c r="W31" s="446"/>
      <c r="X31" s="446"/>
      <c r="Y31" s="390"/>
      <c r="Z31" s="101">
        <f t="shared" si="0"/>
        <v>0</v>
      </c>
      <c r="AA31" s="373">
        <f>IF(F31="y",((((W31+X31+Y31+Z31)*T31)*Rates!$C$379))/12,(((W31+X31+Y31+Z31)*T31)/12))</f>
        <v>0</v>
      </c>
      <c r="AB31" s="254">
        <f t="shared" si="9"/>
        <v>0</v>
      </c>
      <c r="AC31" s="33">
        <f t="shared" si="1"/>
        <v>0</v>
      </c>
      <c r="AD31" s="427">
        <f t="shared" si="2"/>
        <v>0</v>
      </c>
      <c r="AE31" s="38">
        <v>22</v>
      </c>
      <c r="AF31" s="387"/>
      <c r="AG31" s="1070"/>
      <c r="AH31" s="387"/>
      <c r="AI31" s="1070"/>
      <c r="AJ31" s="387"/>
      <c r="AK31" s="1070"/>
      <c r="AL31" s="428"/>
      <c r="AM31" s="428"/>
      <c r="AN31" s="623"/>
      <c r="AO31" s="267"/>
      <c r="AP31" s="267"/>
      <c r="AQ31" s="267"/>
      <c r="AR31" s="267"/>
      <c r="AS31" s="267"/>
      <c r="AT31" s="267"/>
      <c r="AU31" s="267"/>
    </row>
    <row r="32" spans="1:47" ht="27" hidden="1" customHeight="1" x14ac:dyDescent="0.2">
      <c r="A32" s="38">
        <v>23</v>
      </c>
      <c r="B32" s="379"/>
      <c r="C32" s="495"/>
      <c r="D32" s="495"/>
      <c r="E32" s="505"/>
      <c r="F32" s="387"/>
      <c r="G32" s="133"/>
      <c r="H32" s="1120">
        <f t="shared" si="3"/>
        <v>0</v>
      </c>
      <c r="I32" s="389"/>
      <c r="J32" s="388"/>
      <c r="K32" s="446"/>
      <c r="L32" s="446"/>
      <c r="M32" s="373">
        <f>IF(F32="y",(((K32+L32)*Rates!$I$362))/12,((K32+L32)/12))</f>
        <v>0</v>
      </c>
      <c r="N32" s="485">
        <f t="shared" si="4"/>
        <v>0</v>
      </c>
      <c r="O32" s="254">
        <f t="shared" si="5"/>
        <v>0</v>
      </c>
      <c r="P32" s="355">
        <f t="shared" si="6"/>
        <v>0</v>
      </c>
      <c r="Q32" s="32">
        <f t="shared" si="7"/>
        <v>0</v>
      </c>
      <c r="R32" s="12"/>
      <c r="S32" s="391"/>
      <c r="T32" s="1120">
        <f t="shared" si="8"/>
        <v>0</v>
      </c>
      <c r="U32" s="389"/>
      <c r="V32" s="388"/>
      <c r="W32" s="446"/>
      <c r="X32" s="446"/>
      <c r="Y32" s="390"/>
      <c r="Z32" s="101">
        <f t="shared" si="0"/>
        <v>0</v>
      </c>
      <c r="AA32" s="373">
        <f>IF(F32="y",((((W32+X32+Y32+Z32)*T32)*Rates!$C$379))/12,(((W32+X32+Y32+Z32)*T32)/12))</f>
        <v>0</v>
      </c>
      <c r="AB32" s="254">
        <f t="shared" si="9"/>
        <v>0</v>
      </c>
      <c r="AC32" s="33">
        <f t="shared" si="1"/>
        <v>0</v>
      </c>
      <c r="AD32" s="427">
        <f t="shared" si="2"/>
        <v>0</v>
      </c>
      <c r="AE32" s="38">
        <v>23</v>
      </c>
      <c r="AF32" s="387"/>
      <c r="AG32" s="1070"/>
      <c r="AH32" s="387"/>
      <c r="AI32" s="1070"/>
      <c r="AJ32" s="387"/>
      <c r="AK32" s="1070"/>
      <c r="AL32" s="428"/>
      <c r="AM32" s="428"/>
      <c r="AN32" s="623"/>
      <c r="AO32" s="267"/>
      <c r="AP32" s="267"/>
      <c r="AQ32" s="267"/>
      <c r="AR32" s="267"/>
      <c r="AS32" s="267"/>
      <c r="AT32" s="267"/>
      <c r="AU32" s="267"/>
    </row>
    <row r="33" spans="1:47" ht="27" hidden="1" customHeight="1" x14ac:dyDescent="0.2">
      <c r="A33" s="38">
        <v>24</v>
      </c>
      <c r="B33" s="379"/>
      <c r="C33" s="495"/>
      <c r="D33" s="495"/>
      <c r="E33" s="505"/>
      <c r="F33" s="387"/>
      <c r="G33" s="133"/>
      <c r="H33" s="1120">
        <f t="shared" si="3"/>
        <v>0</v>
      </c>
      <c r="I33" s="389"/>
      <c r="J33" s="388"/>
      <c r="K33" s="446"/>
      <c r="L33" s="446"/>
      <c r="M33" s="373">
        <f>IF(F33="y",(((K33+L33)*Rates!$I$362))/12,((K33+L33)/12))</f>
        <v>0</v>
      </c>
      <c r="N33" s="485">
        <f t="shared" si="4"/>
        <v>0</v>
      </c>
      <c r="O33" s="254">
        <f t="shared" si="5"/>
        <v>0</v>
      </c>
      <c r="P33" s="355">
        <f t="shared" si="6"/>
        <v>0</v>
      </c>
      <c r="Q33" s="32">
        <f t="shared" si="7"/>
        <v>0</v>
      </c>
      <c r="R33" s="12"/>
      <c r="S33" s="391"/>
      <c r="T33" s="1120">
        <f t="shared" si="8"/>
        <v>0</v>
      </c>
      <c r="U33" s="389"/>
      <c r="V33" s="388"/>
      <c r="W33" s="446"/>
      <c r="X33" s="446"/>
      <c r="Y33" s="390"/>
      <c r="Z33" s="101">
        <f t="shared" si="0"/>
        <v>0</v>
      </c>
      <c r="AA33" s="373">
        <f>IF(F33="y",((((W33+X33+Y33+Z33)*T33)*Rates!$C$379))/12,(((W33+X33+Y33+Z33)*T33)/12))</f>
        <v>0</v>
      </c>
      <c r="AB33" s="254">
        <f t="shared" si="9"/>
        <v>0</v>
      </c>
      <c r="AC33" s="33">
        <f t="shared" si="1"/>
        <v>0</v>
      </c>
      <c r="AD33" s="427">
        <f t="shared" si="2"/>
        <v>0</v>
      </c>
      <c r="AE33" s="38">
        <v>24</v>
      </c>
      <c r="AF33" s="387"/>
      <c r="AG33" s="1070"/>
      <c r="AH33" s="387"/>
      <c r="AI33" s="1070"/>
      <c r="AJ33" s="387"/>
      <c r="AK33" s="1070"/>
      <c r="AL33" s="428"/>
      <c r="AM33" s="428"/>
      <c r="AN33" s="623"/>
      <c r="AO33" s="267"/>
      <c r="AP33" s="267"/>
      <c r="AQ33" s="267"/>
      <c r="AR33" s="267"/>
      <c r="AS33" s="267"/>
      <c r="AT33" s="267"/>
      <c r="AU33" s="267"/>
    </row>
    <row r="34" spans="1:47" ht="27" hidden="1" customHeight="1" x14ac:dyDescent="0.2">
      <c r="A34" s="38">
        <v>25</v>
      </c>
      <c r="B34" s="379"/>
      <c r="C34" s="495"/>
      <c r="D34" s="495"/>
      <c r="E34" s="505"/>
      <c r="F34" s="387"/>
      <c r="G34" s="133"/>
      <c r="H34" s="1120">
        <f t="shared" si="3"/>
        <v>0</v>
      </c>
      <c r="I34" s="389"/>
      <c r="J34" s="388"/>
      <c r="K34" s="446"/>
      <c r="L34" s="446"/>
      <c r="M34" s="373">
        <f>IF(F34="y",(((K34+L34)*Rates!$I$362))/12,((K34+L34)/12))</f>
        <v>0</v>
      </c>
      <c r="N34" s="485">
        <f t="shared" si="4"/>
        <v>0</v>
      </c>
      <c r="O34" s="254">
        <f t="shared" si="5"/>
        <v>0</v>
      </c>
      <c r="P34" s="355">
        <f t="shared" si="6"/>
        <v>0</v>
      </c>
      <c r="Q34" s="32">
        <f t="shared" si="7"/>
        <v>0</v>
      </c>
      <c r="R34" s="12"/>
      <c r="S34" s="391"/>
      <c r="T34" s="1120">
        <f t="shared" si="8"/>
        <v>0</v>
      </c>
      <c r="U34" s="389"/>
      <c r="V34" s="388"/>
      <c r="W34" s="446"/>
      <c r="X34" s="446"/>
      <c r="Y34" s="390"/>
      <c r="Z34" s="101">
        <f t="shared" si="0"/>
        <v>0</v>
      </c>
      <c r="AA34" s="373">
        <f>IF(F34="y",((((W34+X34+Y34+Z34)*T34)*Rates!$C$379))/12,(((W34+X34+Y34+Z34)*T34)/12))</f>
        <v>0</v>
      </c>
      <c r="AB34" s="254">
        <f t="shared" si="9"/>
        <v>0</v>
      </c>
      <c r="AC34" s="33">
        <f t="shared" si="1"/>
        <v>0</v>
      </c>
      <c r="AD34" s="427">
        <f t="shared" si="2"/>
        <v>0</v>
      </c>
      <c r="AE34" s="38">
        <v>25</v>
      </c>
      <c r="AF34" s="387"/>
      <c r="AG34" s="1070"/>
      <c r="AH34" s="387"/>
      <c r="AI34" s="1070"/>
      <c r="AJ34" s="387"/>
      <c r="AK34" s="1070"/>
      <c r="AL34" s="428"/>
      <c r="AM34" s="428"/>
      <c r="AN34" s="623"/>
      <c r="AO34" s="267"/>
      <c r="AP34" s="267"/>
      <c r="AQ34" s="267"/>
      <c r="AR34" s="267"/>
      <c r="AS34" s="267"/>
      <c r="AT34" s="267"/>
      <c r="AU34" s="267"/>
    </row>
    <row r="35" spans="1:47" ht="27" hidden="1" customHeight="1" x14ac:dyDescent="0.2">
      <c r="A35" s="38">
        <v>26</v>
      </c>
      <c r="B35" s="379"/>
      <c r="C35" s="495"/>
      <c r="D35" s="495"/>
      <c r="E35" s="505"/>
      <c r="F35" s="387"/>
      <c r="G35" s="133"/>
      <c r="H35" s="1120">
        <f t="shared" si="3"/>
        <v>0</v>
      </c>
      <c r="I35" s="389"/>
      <c r="J35" s="388"/>
      <c r="K35" s="446"/>
      <c r="L35" s="446"/>
      <c r="M35" s="373">
        <f>IF(F35="y",(((K35+L35)*Rates!$I$362))/12,((K35+L35)/12))</f>
        <v>0</v>
      </c>
      <c r="N35" s="485">
        <f t="shared" si="4"/>
        <v>0</v>
      </c>
      <c r="O35" s="254">
        <f t="shared" si="5"/>
        <v>0</v>
      </c>
      <c r="P35" s="355">
        <f t="shared" si="6"/>
        <v>0</v>
      </c>
      <c r="Q35" s="32">
        <f t="shared" si="7"/>
        <v>0</v>
      </c>
      <c r="R35" s="12"/>
      <c r="S35" s="391"/>
      <c r="T35" s="1120">
        <f t="shared" si="8"/>
        <v>0</v>
      </c>
      <c r="U35" s="389"/>
      <c r="V35" s="388"/>
      <c r="W35" s="446"/>
      <c r="X35" s="446"/>
      <c r="Y35" s="390"/>
      <c r="Z35" s="101">
        <f t="shared" si="0"/>
        <v>0</v>
      </c>
      <c r="AA35" s="373">
        <f>IF(F35="y",((((W35+X35+Y35+Z35)*T35)*Rates!$C$379))/12,(((W35+X35+Y35+Z35)*T35)/12))</f>
        <v>0</v>
      </c>
      <c r="AB35" s="254">
        <f t="shared" si="9"/>
        <v>0</v>
      </c>
      <c r="AC35" s="33">
        <f t="shared" si="1"/>
        <v>0</v>
      </c>
      <c r="AD35" s="427">
        <f t="shared" si="2"/>
        <v>0</v>
      </c>
      <c r="AE35" s="38">
        <v>26</v>
      </c>
      <c r="AF35" s="387"/>
      <c r="AG35" s="1070"/>
      <c r="AH35" s="387"/>
      <c r="AI35" s="1070"/>
      <c r="AJ35" s="387"/>
      <c r="AK35" s="1070"/>
      <c r="AL35" s="428"/>
      <c r="AM35" s="428"/>
      <c r="AN35" s="623"/>
      <c r="AO35" s="267"/>
      <c r="AP35" s="267"/>
      <c r="AQ35" s="267"/>
      <c r="AR35" s="267"/>
      <c r="AS35" s="267"/>
      <c r="AT35" s="267"/>
      <c r="AU35" s="267"/>
    </row>
    <row r="36" spans="1:47" ht="27" hidden="1" customHeight="1" x14ac:dyDescent="0.2">
      <c r="A36" s="38">
        <v>27</v>
      </c>
      <c r="B36" s="379"/>
      <c r="C36" s="495"/>
      <c r="D36" s="495"/>
      <c r="E36" s="505"/>
      <c r="F36" s="387"/>
      <c r="G36" s="133"/>
      <c r="H36" s="1120">
        <f t="shared" si="3"/>
        <v>0</v>
      </c>
      <c r="I36" s="389"/>
      <c r="J36" s="388"/>
      <c r="K36" s="446"/>
      <c r="L36" s="446"/>
      <c r="M36" s="373">
        <f>IF(F36="y",(((K36+L36)*Rates!$I$362))/12,((K36+L36)/12))</f>
        <v>0</v>
      </c>
      <c r="N36" s="485">
        <f t="shared" si="4"/>
        <v>0</v>
      </c>
      <c r="O36" s="254">
        <f t="shared" si="5"/>
        <v>0</v>
      </c>
      <c r="P36" s="355">
        <f t="shared" si="6"/>
        <v>0</v>
      </c>
      <c r="Q36" s="32">
        <f t="shared" si="7"/>
        <v>0</v>
      </c>
      <c r="R36" s="12"/>
      <c r="S36" s="391"/>
      <c r="T36" s="1120">
        <f t="shared" si="8"/>
        <v>0</v>
      </c>
      <c r="U36" s="389"/>
      <c r="V36" s="388"/>
      <c r="W36" s="446"/>
      <c r="X36" s="446"/>
      <c r="Y36" s="390"/>
      <c r="Z36" s="101">
        <f t="shared" si="0"/>
        <v>0</v>
      </c>
      <c r="AA36" s="373">
        <f>IF(F36="y",((((W36+X36+Y36+Z36)*T36)*Rates!$C$379))/12,(((W36+X36+Y36+Z36)*T36)/12))</f>
        <v>0</v>
      </c>
      <c r="AB36" s="254">
        <f t="shared" si="9"/>
        <v>0</v>
      </c>
      <c r="AC36" s="33">
        <f t="shared" si="1"/>
        <v>0</v>
      </c>
      <c r="AD36" s="427">
        <f t="shared" si="2"/>
        <v>0</v>
      </c>
      <c r="AE36" s="38">
        <v>27</v>
      </c>
      <c r="AF36" s="387"/>
      <c r="AG36" s="1070"/>
      <c r="AH36" s="387"/>
      <c r="AI36" s="1070"/>
      <c r="AJ36" s="387"/>
      <c r="AK36" s="1070"/>
      <c r="AL36" s="428"/>
      <c r="AM36" s="428"/>
      <c r="AN36" s="623"/>
      <c r="AO36" s="267"/>
      <c r="AP36" s="267"/>
      <c r="AQ36" s="267"/>
      <c r="AR36" s="267"/>
      <c r="AS36" s="267"/>
      <c r="AT36" s="267"/>
      <c r="AU36" s="267"/>
    </row>
    <row r="37" spans="1:47" ht="27" hidden="1" customHeight="1" x14ac:dyDescent="0.2">
      <c r="A37" s="38">
        <v>28</v>
      </c>
      <c r="B37" s="379"/>
      <c r="C37" s="495"/>
      <c r="D37" s="495"/>
      <c r="E37" s="505"/>
      <c r="F37" s="387"/>
      <c r="G37" s="133"/>
      <c r="H37" s="1120">
        <f t="shared" si="3"/>
        <v>0</v>
      </c>
      <c r="I37" s="389"/>
      <c r="J37" s="388"/>
      <c r="K37" s="446"/>
      <c r="L37" s="446"/>
      <c r="M37" s="373">
        <f>IF(F37="y",(((K37+L37)*Rates!$I$362))/12,((K37+L37)/12))</f>
        <v>0</v>
      </c>
      <c r="N37" s="485">
        <f t="shared" si="4"/>
        <v>0</v>
      </c>
      <c r="O37" s="254">
        <f t="shared" si="5"/>
        <v>0</v>
      </c>
      <c r="P37" s="355">
        <f t="shared" si="6"/>
        <v>0</v>
      </c>
      <c r="Q37" s="32">
        <f t="shared" si="7"/>
        <v>0</v>
      </c>
      <c r="R37" s="12"/>
      <c r="S37" s="391"/>
      <c r="T37" s="1120">
        <f t="shared" si="8"/>
        <v>0</v>
      </c>
      <c r="U37" s="389"/>
      <c r="V37" s="388"/>
      <c r="W37" s="446"/>
      <c r="X37" s="446"/>
      <c r="Y37" s="390"/>
      <c r="Z37" s="101">
        <f t="shared" si="0"/>
        <v>0</v>
      </c>
      <c r="AA37" s="373">
        <f>IF(F37="y",((((W37+X37+Y37+Z37)*T37)*Rates!$C$379))/12,(((W37+X37+Y37+Z37)*T37)/12))</f>
        <v>0</v>
      </c>
      <c r="AB37" s="254">
        <f t="shared" si="9"/>
        <v>0</v>
      </c>
      <c r="AC37" s="33">
        <f t="shared" si="1"/>
        <v>0</v>
      </c>
      <c r="AD37" s="427">
        <f t="shared" si="2"/>
        <v>0</v>
      </c>
      <c r="AE37" s="38">
        <v>28</v>
      </c>
      <c r="AF37" s="387"/>
      <c r="AG37" s="1070"/>
      <c r="AH37" s="387"/>
      <c r="AI37" s="1070"/>
      <c r="AJ37" s="387"/>
      <c r="AK37" s="1070"/>
      <c r="AL37" s="428"/>
      <c r="AM37" s="428"/>
      <c r="AN37" s="623"/>
      <c r="AO37" s="267"/>
      <c r="AP37" s="267"/>
      <c r="AQ37" s="267"/>
      <c r="AR37" s="267"/>
      <c r="AS37" s="267"/>
      <c r="AT37" s="267"/>
      <c r="AU37" s="267"/>
    </row>
    <row r="38" spans="1:47" ht="27" hidden="1" customHeight="1" x14ac:dyDescent="0.2">
      <c r="A38" s="38">
        <v>29</v>
      </c>
      <c r="B38" s="379"/>
      <c r="C38" s="495"/>
      <c r="D38" s="495"/>
      <c r="E38" s="505"/>
      <c r="F38" s="387"/>
      <c r="G38" s="133"/>
      <c r="H38" s="1120">
        <f t="shared" si="3"/>
        <v>0</v>
      </c>
      <c r="I38" s="389"/>
      <c r="J38" s="388"/>
      <c r="K38" s="446"/>
      <c r="L38" s="446"/>
      <c r="M38" s="373">
        <f>IF(F38="y",(((K38+L38)*Rates!$I$362))/12,((K38+L38)/12))</f>
        <v>0</v>
      </c>
      <c r="N38" s="485">
        <f t="shared" si="4"/>
        <v>0</v>
      </c>
      <c r="O38" s="254">
        <f t="shared" si="5"/>
        <v>0</v>
      </c>
      <c r="P38" s="355">
        <f t="shared" si="6"/>
        <v>0</v>
      </c>
      <c r="Q38" s="32">
        <f t="shared" si="7"/>
        <v>0</v>
      </c>
      <c r="R38" s="12"/>
      <c r="S38" s="391"/>
      <c r="T38" s="1120">
        <f t="shared" si="8"/>
        <v>0</v>
      </c>
      <c r="U38" s="389"/>
      <c r="V38" s="388"/>
      <c r="W38" s="446"/>
      <c r="X38" s="446"/>
      <c r="Y38" s="390"/>
      <c r="Z38" s="101">
        <f t="shared" si="0"/>
        <v>0</v>
      </c>
      <c r="AA38" s="373">
        <f>IF(F38="y",((((W38+X38+Y38+Z38)*T38)*Rates!$C$379))/12,(((W38+X38+Y38+Z38)*T38)/12))</f>
        <v>0</v>
      </c>
      <c r="AB38" s="254">
        <f t="shared" si="9"/>
        <v>0</v>
      </c>
      <c r="AC38" s="33">
        <f t="shared" si="1"/>
        <v>0</v>
      </c>
      <c r="AD38" s="427">
        <f t="shared" si="2"/>
        <v>0</v>
      </c>
      <c r="AE38" s="38">
        <v>29</v>
      </c>
      <c r="AF38" s="387"/>
      <c r="AG38" s="1070"/>
      <c r="AH38" s="387"/>
      <c r="AI38" s="1070"/>
      <c r="AJ38" s="387"/>
      <c r="AK38" s="1070"/>
      <c r="AL38" s="428"/>
      <c r="AM38" s="428"/>
      <c r="AN38" s="623"/>
      <c r="AO38" s="267"/>
      <c r="AP38" s="267"/>
      <c r="AQ38" s="267"/>
      <c r="AR38" s="267"/>
      <c r="AS38" s="267"/>
      <c r="AT38" s="267"/>
      <c r="AU38" s="267"/>
    </row>
    <row r="39" spans="1:47" ht="27" hidden="1" customHeight="1" x14ac:dyDescent="0.2">
      <c r="A39" s="38">
        <v>30</v>
      </c>
      <c r="B39" s="379"/>
      <c r="C39" s="495"/>
      <c r="D39" s="495"/>
      <c r="E39" s="505"/>
      <c r="F39" s="387"/>
      <c r="G39" s="133"/>
      <c r="H39" s="1120">
        <f t="shared" si="3"/>
        <v>0</v>
      </c>
      <c r="I39" s="389"/>
      <c r="J39" s="388"/>
      <c r="K39" s="446"/>
      <c r="L39" s="446"/>
      <c r="M39" s="373">
        <f>IF(F39="y",(((K39+L39)*Rates!$I$362))/12,((K39+L39)/12))</f>
        <v>0</v>
      </c>
      <c r="N39" s="485">
        <f t="shared" si="4"/>
        <v>0</v>
      </c>
      <c r="O39" s="254">
        <f t="shared" si="5"/>
        <v>0</v>
      </c>
      <c r="P39" s="355">
        <f t="shared" si="6"/>
        <v>0</v>
      </c>
      <c r="Q39" s="32">
        <f t="shared" si="7"/>
        <v>0</v>
      </c>
      <c r="R39" s="12"/>
      <c r="S39" s="391"/>
      <c r="T39" s="1120">
        <f t="shared" si="8"/>
        <v>0</v>
      </c>
      <c r="U39" s="389"/>
      <c r="V39" s="388"/>
      <c r="W39" s="446"/>
      <c r="X39" s="446"/>
      <c r="Y39" s="390"/>
      <c r="Z39" s="101">
        <f t="shared" si="0"/>
        <v>0</v>
      </c>
      <c r="AA39" s="373">
        <f>IF(F39="y",((((W39+X39+Y39+Z39)*T39)*Rates!$C$379))/12,(((W39+X39+Y39+Z39)*T39)/12))</f>
        <v>0</v>
      </c>
      <c r="AB39" s="254">
        <f t="shared" si="9"/>
        <v>0</v>
      </c>
      <c r="AC39" s="33">
        <f t="shared" si="1"/>
        <v>0</v>
      </c>
      <c r="AD39" s="427">
        <f t="shared" si="2"/>
        <v>0</v>
      </c>
      <c r="AE39" s="38">
        <v>30</v>
      </c>
      <c r="AF39" s="387"/>
      <c r="AG39" s="1070"/>
      <c r="AH39" s="387"/>
      <c r="AI39" s="1070"/>
      <c r="AJ39" s="387"/>
      <c r="AK39" s="1070"/>
      <c r="AL39" s="428"/>
      <c r="AM39" s="428"/>
      <c r="AN39" s="623"/>
      <c r="AO39" s="267"/>
      <c r="AP39" s="267"/>
      <c r="AQ39" s="267"/>
      <c r="AR39" s="267"/>
      <c r="AS39" s="267"/>
      <c r="AT39" s="267"/>
      <c r="AU39" s="267"/>
    </row>
    <row r="40" spans="1:47" ht="27" hidden="1" customHeight="1" x14ac:dyDescent="0.2">
      <c r="A40" s="38">
        <v>31</v>
      </c>
      <c r="B40" s="379"/>
      <c r="C40" s="495"/>
      <c r="D40" s="495"/>
      <c r="E40" s="505"/>
      <c r="F40" s="387"/>
      <c r="G40" s="133"/>
      <c r="H40" s="1120">
        <f t="shared" si="3"/>
        <v>0</v>
      </c>
      <c r="I40" s="389"/>
      <c r="J40" s="388"/>
      <c r="K40" s="446"/>
      <c r="L40" s="446"/>
      <c r="M40" s="373">
        <f>IF(F40="y",(((K40+L40)*Rates!$I$362))/12,((K40+L40)/12))</f>
        <v>0</v>
      </c>
      <c r="N40" s="485">
        <f t="shared" si="4"/>
        <v>0</v>
      </c>
      <c r="O40" s="254">
        <f t="shared" si="5"/>
        <v>0</v>
      </c>
      <c r="P40" s="355">
        <f t="shared" si="6"/>
        <v>0</v>
      </c>
      <c r="Q40" s="32">
        <f t="shared" si="7"/>
        <v>0</v>
      </c>
      <c r="R40" s="12"/>
      <c r="S40" s="391"/>
      <c r="T40" s="1120">
        <f t="shared" si="8"/>
        <v>0</v>
      </c>
      <c r="U40" s="389"/>
      <c r="V40" s="388"/>
      <c r="W40" s="446"/>
      <c r="X40" s="446"/>
      <c r="Y40" s="390"/>
      <c r="Z40" s="101">
        <f t="shared" si="0"/>
        <v>0</v>
      </c>
      <c r="AA40" s="373">
        <f>IF(F40="y",((((W40+X40+Y40+Z40)*T40)*Rates!$C$379))/12,(((W40+X40+Y40+Z40)*T40)/12))</f>
        <v>0</v>
      </c>
      <c r="AB40" s="254">
        <f t="shared" si="9"/>
        <v>0</v>
      </c>
      <c r="AC40" s="33">
        <f t="shared" si="1"/>
        <v>0</v>
      </c>
      <c r="AD40" s="427">
        <f t="shared" si="2"/>
        <v>0</v>
      </c>
      <c r="AE40" s="38">
        <v>31</v>
      </c>
      <c r="AF40" s="387"/>
      <c r="AG40" s="1070"/>
      <c r="AH40" s="387"/>
      <c r="AI40" s="1070"/>
      <c r="AJ40" s="387"/>
      <c r="AK40" s="1070"/>
      <c r="AL40" s="428"/>
      <c r="AM40" s="428"/>
      <c r="AN40" s="623"/>
      <c r="AO40" s="267"/>
      <c r="AP40" s="267"/>
      <c r="AQ40" s="267"/>
      <c r="AR40" s="267"/>
      <c r="AS40" s="267"/>
      <c r="AT40" s="267"/>
      <c r="AU40" s="267"/>
    </row>
    <row r="41" spans="1:47" ht="27" hidden="1" customHeight="1" x14ac:dyDescent="0.2">
      <c r="A41" s="38">
        <v>32</v>
      </c>
      <c r="B41" s="379"/>
      <c r="C41" s="495"/>
      <c r="D41" s="495"/>
      <c r="E41" s="505"/>
      <c r="F41" s="387"/>
      <c r="G41" s="133"/>
      <c r="H41" s="1120">
        <f t="shared" si="3"/>
        <v>0</v>
      </c>
      <c r="I41" s="389"/>
      <c r="J41" s="388"/>
      <c r="K41" s="446"/>
      <c r="L41" s="446"/>
      <c r="M41" s="373">
        <f>IF(F41="y",(((K41+L41)*Rates!$I$362))/12,((K41+L41)/12))</f>
        <v>0</v>
      </c>
      <c r="N41" s="485">
        <f t="shared" si="4"/>
        <v>0</v>
      </c>
      <c r="O41" s="254">
        <f t="shared" si="5"/>
        <v>0</v>
      </c>
      <c r="P41" s="355">
        <f t="shared" si="6"/>
        <v>0</v>
      </c>
      <c r="Q41" s="32">
        <f t="shared" si="7"/>
        <v>0</v>
      </c>
      <c r="R41" s="12"/>
      <c r="S41" s="391"/>
      <c r="T41" s="1120">
        <f t="shared" si="8"/>
        <v>0</v>
      </c>
      <c r="U41" s="389"/>
      <c r="V41" s="388"/>
      <c r="W41" s="446"/>
      <c r="X41" s="446"/>
      <c r="Y41" s="390"/>
      <c r="Z41" s="101">
        <f t="shared" si="0"/>
        <v>0</v>
      </c>
      <c r="AA41" s="373">
        <f>IF(F41="y",((((W41+X41+Y41+Z41)*T41)*Rates!$C$379))/12,(((W41+X41+Y41+Z41)*T41)/12))</f>
        <v>0</v>
      </c>
      <c r="AB41" s="254">
        <f t="shared" si="9"/>
        <v>0</v>
      </c>
      <c r="AC41" s="33">
        <f t="shared" si="1"/>
        <v>0</v>
      </c>
      <c r="AD41" s="427">
        <f t="shared" si="2"/>
        <v>0</v>
      </c>
      <c r="AE41" s="38">
        <v>32</v>
      </c>
      <c r="AF41" s="387"/>
      <c r="AG41" s="1070"/>
      <c r="AH41" s="387"/>
      <c r="AI41" s="1070"/>
      <c r="AJ41" s="387"/>
      <c r="AK41" s="1070"/>
      <c r="AL41" s="428"/>
      <c r="AM41" s="428"/>
      <c r="AN41" s="623"/>
      <c r="AO41" s="267"/>
      <c r="AP41" s="267"/>
      <c r="AQ41" s="267"/>
      <c r="AR41" s="267"/>
      <c r="AS41" s="267"/>
      <c r="AT41" s="267"/>
      <c r="AU41" s="267"/>
    </row>
    <row r="42" spans="1:47" ht="27" hidden="1" customHeight="1" x14ac:dyDescent="0.2">
      <c r="A42" s="38">
        <v>33</v>
      </c>
      <c r="B42" s="379"/>
      <c r="C42" s="495"/>
      <c r="D42" s="495"/>
      <c r="E42" s="505"/>
      <c r="F42" s="387"/>
      <c r="G42" s="133"/>
      <c r="H42" s="1120">
        <f t="shared" si="3"/>
        <v>0</v>
      </c>
      <c r="I42" s="389"/>
      <c r="J42" s="388"/>
      <c r="K42" s="446"/>
      <c r="L42" s="446"/>
      <c r="M42" s="373">
        <f>IF(F42="y",(((K42+L42)*Rates!$I$362))/12,((K42+L42)/12))</f>
        <v>0</v>
      </c>
      <c r="N42" s="485">
        <f t="shared" ref="N42:N73" si="10">M42*J42*H42</f>
        <v>0</v>
      </c>
      <c r="O42" s="254">
        <f t="shared" ref="O42:O73" si="11">M42*J42*H42</f>
        <v>0</v>
      </c>
      <c r="P42" s="355">
        <f t="shared" si="6"/>
        <v>0</v>
      </c>
      <c r="Q42" s="32">
        <f t="shared" si="7"/>
        <v>0</v>
      </c>
      <c r="R42" s="12"/>
      <c r="S42" s="391"/>
      <c r="T42" s="1120">
        <f t="shared" si="8"/>
        <v>0</v>
      </c>
      <c r="U42" s="389"/>
      <c r="V42" s="388"/>
      <c r="W42" s="446"/>
      <c r="X42" s="446"/>
      <c r="Y42" s="390"/>
      <c r="Z42" s="101">
        <f t="shared" si="0"/>
        <v>0</v>
      </c>
      <c r="AA42" s="373">
        <f>IF(F42="y",((((W42+X42+Y42+Z42)*T42)*Rates!$C$379))/12,(((W42+X42+Y42+Z42)*T42)/12))</f>
        <v>0</v>
      </c>
      <c r="AB42" s="254">
        <f t="shared" si="9"/>
        <v>0</v>
      </c>
      <c r="AC42" s="33">
        <f t="shared" ref="AC42:AC73" si="12">$AC$9*AB42</f>
        <v>0</v>
      </c>
      <c r="AD42" s="427">
        <f t="shared" si="2"/>
        <v>0</v>
      </c>
      <c r="AE42" s="38">
        <v>33</v>
      </c>
      <c r="AF42" s="387"/>
      <c r="AG42" s="1070"/>
      <c r="AH42" s="387"/>
      <c r="AI42" s="1070"/>
      <c r="AJ42" s="387"/>
      <c r="AK42" s="1070"/>
      <c r="AL42" s="428"/>
      <c r="AM42" s="428"/>
      <c r="AN42" s="623"/>
      <c r="AO42" s="267"/>
      <c r="AP42" s="267"/>
      <c r="AQ42" s="267"/>
      <c r="AR42" s="267"/>
      <c r="AS42" s="267"/>
      <c r="AT42" s="267"/>
      <c r="AU42" s="267"/>
    </row>
    <row r="43" spans="1:47" ht="27" hidden="1" customHeight="1" x14ac:dyDescent="0.2">
      <c r="A43" s="38">
        <v>34</v>
      </c>
      <c r="B43" s="379"/>
      <c r="C43" s="495"/>
      <c r="D43" s="495"/>
      <c r="E43" s="505"/>
      <c r="F43" s="387"/>
      <c r="G43" s="133"/>
      <c r="H43" s="1120">
        <f t="shared" si="3"/>
        <v>0</v>
      </c>
      <c r="I43" s="389"/>
      <c r="J43" s="388"/>
      <c r="K43" s="446"/>
      <c r="L43" s="446"/>
      <c r="M43" s="373">
        <f>IF(F43="y",(((K43+L43)*Rates!$I$362))/12,((K43+L43)/12))</f>
        <v>0</v>
      </c>
      <c r="N43" s="485">
        <f t="shared" si="10"/>
        <v>0</v>
      </c>
      <c r="O43" s="254">
        <f t="shared" si="11"/>
        <v>0</v>
      </c>
      <c r="P43" s="355">
        <f t="shared" si="6"/>
        <v>0</v>
      </c>
      <c r="Q43" s="32">
        <f t="shared" si="7"/>
        <v>0</v>
      </c>
      <c r="R43" s="12"/>
      <c r="S43" s="391"/>
      <c r="T43" s="1120">
        <f t="shared" si="8"/>
        <v>0</v>
      </c>
      <c r="U43" s="389"/>
      <c r="V43" s="388"/>
      <c r="W43" s="446"/>
      <c r="X43" s="446"/>
      <c r="Y43" s="390"/>
      <c r="Z43" s="101">
        <f t="shared" si="0"/>
        <v>0</v>
      </c>
      <c r="AA43" s="373">
        <f>IF(F43="y",((((W43+X43+Y43+Z43)*T43)*Rates!$C$379))/12,(((W43+X43+Y43+Z43)*T43)/12))</f>
        <v>0</v>
      </c>
      <c r="AB43" s="254">
        <f t="shared" si="9"/>
        <v>0</v>
      </c>
      <c r="AC43" s="33">
        <f t="shared" si="12"/>
        <v>0</v>
      </c>
      <c r="AD43" s="427">
        <f t="shared" si="2"/>
        <v>0</v>
      </c>
      <c r="AE43" s="38">
        <v>34</v>
      </c>
      <c r="AF43" s="387"/>
      <c r="AG43" s="1070"/>
      <c r="AH43" s="387"/>
      <c r="AI43" s="1070"/>
      <c r="AJ43" s="387"/>
      <c r="AK43" s="1070"/>
      <c r="AL43" s="428"/>
      <c r="AM43" s="428"/>
      <c r="AN43" s="623"/>
      <c r="AO43" s="267"/>
      <c r="AP43" s="267"/>
      <c r="AQ43" s="267"/>
      <c r="AR43" s="267"/>
      <c r="AS43" s="267"/>
      <c r="AT43" s="267"/>
      <c r="AU43" s="267"/>
    </row>
    <row r="44" spans="1:47" ht="27" hidden="1" customHeight="1" x14ac:dyDescent="0.2">
      <c r="A44" s="38">
        <v>35</v>
      </c>
      <c r="B44" s="379"/>
      <c r="C44" s="495"/>
      <c r="D44" s="495"/>
      <c r="E44" s="505"/>
      <c r="F44" s="387"/>
      <c r="G44" s="133"/>
      <c r="H44" s="1120">
        <f t="shared" si="3"/>
        <v>0</v>
      </c>
      <c r="I44" s="389"/>
      <c r="J44" s="388"/>
      <c r="K44" s="446"/>
      <c r="L44" s="446"/>
      <c r="M44" s="373">
        <f>IF(F44="y",(((K44+L44)*Rates!$I$362))/12,((K44+L44)/12))</f>
        <v>0</v>
      </c>
      <c r="N44" s="485">
        <f t="shared" si="10"/>
        <v>0</v>
      </c>
      <c r="O44" s="254">
        <f t="shared" si="11"/>
        <v>0</v>
      </c>
      <c r="P44" s="355">
        <f t="shared" si="6"/>
        <v>0</v>
      </c>
      <c r="Q44" s="32">
        <f t="shared" si="7"/>
        <v>0</v>
      </c>
      <c r="R44" s="12"/>
      <c r="S44" s="391"/>
      <c r="T44" s="1120">
        <f t="shared" si="8"/>
        <v>0</v>
      </c>
      <c r="U44" s="389"/>
      <c r="V44" s="388"/>
      <c r="W44" s="446"/>
      <c r="X44" s="446"/>
      <c r="Y44" s="390"/>
      <c r="Z44" s="101">
        <f t="shared" si="0"/>
        <v>0</v>
      </c>
      <c r="AA44" s="373">
        <f>IF(F44="y",((((W44+X44+Y44+Z44)*T44)*Rates!$C$379))/12,(((W44+X44+Y44+Z44)*T44)/12))</f>
        <v>0</v>
      </c>
      <c r="AB44" s="254">
        <f t="shared" si="9"/>
        <v>0</v>
      </c>
      <c r="AC44" s="33">
        <f t="shared" si="12"/>
        <v>0</v>
      </c>
      <c r="AD44" s="427">
        <f t="shared" si="2"/>
        <v>0</v>
      </c>
      <c r="AE44" s="38">
        <v>35</v>
      </c>
      <c r="AF44" s="387"/>
      <c r="AG44" s="1070"/>
      <c r="AH44" s="387"/>
      <c r="AI44" s="1070"/>
      <c r="AJ44" s="387"/>
      <c r="AK44" s="1070"/>
      <c r="AL44" s="428"/>
      <c r="AM44" s="428"/>
      <c r="AN44" s="623"/>
      <c r="AO44" s="267"/>
      <c r="AP44" s="267"/>
      <c r="AQ44" s="267"/>
      <c r="AR44" s="267"/>
      <c r="AS44" s="267"/>
      <c r="AT44" s="267"/>
      <c r="AU44" s="267"/>
    </row>
    <row r="45" spans="1:47" ht="27" hidden="1" customHeight="1" x14ac:dyDescent="0.2">
      <c r="A45" s="38">
        <v>36</v>
      </c>
      <c r="B45" s="379"/>
      <c r="C45" s="495"/>
      <c r="D45" s="495"/>
      <c r="E45" s="505"/>
      <c r="F45" s="387"/>
      <c r="G45" s="133"/>
      <c r="H45" s="1120">
        <f t="shared" si="3"/>
        <v>0</v>
      </c>
      <c r="I45" s="389"/>
      <c r="J45" s="388"/>
      <c r="K45" s="446"/>
      <c r="L45" s="446"/>
      <c r="M45" s="373">
        <f>IF(F45="y",(((K45+L45)*Rates!$I$362))/12,((K45+L45)/12))</f>
        <v>0</v>
      </c>
      <c r="N45" s="485">
        <f t="shared" si="10"/>
        <v>0</v>
      </c>
      <c r="O45" s="254">
        <f t="shared" si="11"/>
        <v>0</v>
      </c>
      <c r="P45" s="355">
        <f t="shared" si="6"/>
        <v>0</v>
      </c>
      <c r="Q45" s="32">
        <f t="shared" si="7"/>
        <v>0</v>
      </c>
      <c r="R45" s="12"/>
      <c r="S45" s="391"/>
      <c r="T45" s="1120">
        <f t="shared" si="8"/>
        <v>0</v>
      </c>
      <c r="U45" s="389"/>
      <c r="V45" s="388"/>
      <c r="W45" s="446"/>
      <c r="X45" s="446"/>
      <c r="Y45" s="390"/>
      <c r="Z45" s="101">
        <f t="shared" si="0"/>
        <v>0</v>
      </c>
      <c r="AA45" s="373">
        <f>IF(F45="y",((((W45+X45+Y45+Z45)*T45)*Rates!$C$379))/12,(((W45+X45+Y45+Z45)*T45)/12))</f>
        <v>0</v>
      </c>
      <c r="AB45" s="254">
        <f t="shared" si="9"/>
        <v>0</v>
      </c>
      <c r="AC45" s="33">
        <f t="shared" si="12"/>
        <v>0</v>
      </c>
      <c r="AD45" s="427">
        <f t="shared" si="2"/>
        <v>0</v>
      </c>
      <c r="AE45" s="38">
        <v>36</v>
      </c>
      <c r="AF45" s="387"/>
      <c r="AG45" s="1070"/>
      <c r="AH45" s="387"/>
      <c r="AI45" s="1070"/>
      <c r="AJ45" s="387"/>
      <c r="AK45" s="1070"/>
      <c r="AL45" s="428"/>
      <c r="AM45" s="428"/>
      <c r="AN45" s="623"/>
      <c r="AO45" s="267"/>
      <c r="AP45" s="267"/>
      <c r="AQ45" s="267"/>
      <c r="AR45" s="267"/>
      <c r="AS45" s="267"/>
      <c r="AT45" s="267"/>
      <c r="AU45" s="267"/>
    </row>
    <row r="46" spans="1:47" ht="27" hidden="1" customHeight="1" x14ac:dyDescent="0.2">
      <c r="A46" s="38">
        <v>37</v>
      </c>
      <c r="B46" s="379"/>
      <c r="C46" s="495"/>
      <c r="D46" s="495"/>
      <c r="E46" s="505"/>
      <c r="F46" s="387"/>
      <c r="G46" s="133"/>
      <c r="H46" s="1120">
        <f t="shared" si="3"/>
        <v>0</v>
      </c>
      <c r="I46" s="389"/>
      <c r="J46" s="388"/>
      <c r="K46" s="446"/>
      <c r="L46" s="446"/>
      <c r="M46" s="373">
        <f>IF(F46="y",(((K46+L46)*Rates!$I$362))/12,((K46+L46)/12))</f>
        <v>0</v>
      </c>
      <c r="N46" s="485">
        <f t="shared" si="10"/>
        <v>0</v>
      </c>
      <c r="O46" s="254">
        <f t="shared" si="11"/>
        <v>0</v>
      </c>
      <c r="P46" s="355">
        <f t="shared" si="6"/>
        <v>0</v>
      </c>
      <c r="Q46" s="32">
        <f t="shared" si="7"/>
        <v>0</v>
      </c>
      <c r="R46" s="12"/>
      <c r="S46" s="391"/>
      <c r="T46" s="1120">
        <f t="shared" si="8"/>
        <v>0</v>
      </c>
      <c r="U46" s="389"/>
      <c r="V46" s="388"/>
      <c r="W46" s="446"/>
      <c r="X46" s="446"/>
      <c r="Y46" s="390"/>
      <c r="Z46" s="101">
        <f t="shared" si="0"/>
        <v>0</v>
      </c>
      <c r="AA46" s="373">
        <f>IF(F46="y",((((W46+X46+Y46+Z46)*T46)*Rates!$C$379))/12,(((W46+X46+Y46+Z46)*T46)/12))</f>
        <v>0</v>
      </c>
      <c r="AB46" s="254">
        <f t="shared" si="9"/>
        <v>0</v>
      </c>
      <c r="AC46" s="33">
        <f t="shared" si="12"/>
        <v>0</v>
      </c>
      <c r="AD46" s="427">
        <f t="shared" si="2"/>
        <v>0</v>
      </c>
      <c r="AE46" s="38">
        <v>37</v>
      </c>
      <c r="AF46" s="387"/>
      <c r="AG46" s="1070"/>
      <c r="AH46" s="387"/>
      <c r="AI46" s="1070"/>
      <c r="AJ46" s="387"/>
      <c r="AK46" s="1070"/>
      <c r="AL46" s="428"/>
      <c r="AM46" s="428"/>
      <c r="AN46" s="623"/>
      <c r="AO46" s="267"/>
      <c r="AP46" s="267"/>
      <c r="AQ46" s="267"/>
      <c r="AR46" s="267"/>
      <c r="AS46" s="267"/>
      <c r="AT46" s="267"/>
      <c r="AU46" s="267"/>
    </row>
    <row r="47" spans="1:47" ht="27" hidden="1" customHeight="1" x14ac:dyDescent="0.2">
      <c r="A47" s="38">
        <v>38</v>
      </c>
      <c r="B47" s="379"/>
      <c r="C47" s="495"/>
      <c r="D47" s="495"/>
      <c r="E47" s="505"/>
      <c r="F47" s="387"/>
      <c r="G47" s="133"/>
      <c r="H47" s="1120">
        <f t="shared" si="3"/>
        <v>0</v>
      </c>
      <c r="I47" s="389"/>
      <c r="J47" s="388"/>
      <c r="K47" s="446"/>
      <c r="L47" s="446"/>
      <c r="M47" s="373">
        <f>IF(F47="y",(((K47+L47)*Rates!$I$362))/12,((K47+L47)/12))</f>
        <v>0</v>
      </c>
      <c r="N47" s="485">
        <f t="shared" si="10"/>
        <v>0</v>
      </c>
      <c r="O47" s="254">
        <f t="shared" si="11"/>
        <v>0</v>
      </c>
      <c r="P47" s="355">
        <f t="shared" si="6"/>
        <v>0</v>
      </c>
      <c r="Q47" s="32">
        <f t="shared" si="7"/>
        <v>0</v>
      </c>
      <c r="R47" s="12"/>
      <c r="S47" s="391"/>
      <c r="T47" s="1120">
        <f t="shared" si="8"/>
        <v>0</v>
      </c>
      <c r="U47" s="389"/>
      <c r="V47" s="388"/>
      <c r="W47" s="446"/>
      <c r="X47" s="446"/>
      <c r="Y47" s="390"/>
      <c r="Z47" s="101">
        <f t="shared" si="0"/>
        <v>0</v>
      </c>
      <c r="AA47" s="373">
        <f>IF(F47="y",((((W47+X47+Y47+Z47)*T47)*Rates!$C$379))/12,(((W47+X47+Y47+Z47)*T47)/12))</f>
        <v>0</v>
      </c>
      <c r="AB47" s="254">
        <f t="shared" si="9"/>
        <v>0</v>
      </c>
      <c r="AC47" s="33">
        <f t="shared" si="12"/>
        <v>0</v>
      </c>
      <c r="AD47" s="427">
        <f t="shared" si="2"/>
        <v>0</v>
      </c>
      <c r="AE47" s="38">
        <v>38</v>
      </c>
      <c r="AF47" s="387"/>
      <c r="AG47" s="1070"/>
      <c r="AH47" s="387"/>
      <c r="AI47" s="1070"/>
      <c r="AJ47" s="387"/>
      <c r="AK47" s="1070"/>
      <c r="AL47" s="428"/>
      <c r="AM47" s="428"/>
      <c r="AN47" s="623"/>
      <c r="AO47" s="267"/>
      <c r="AP47" s="267"/>
      <c r="AQ47" s="267"/>
      <c r="AR47" s="267"/>
      <c r="AS47" s="267"/>
      <c r="AT47" s="267"/>
      <c r="AU47" s="267"/>
    </row>
    <row r="48" spans="1:47" ht="27" hidden="1" customHeight="1" x14ac:dyDescent="0.2">
      <c r="A48" s="38">
        <v>39</v>
      </c>
      <c r="B48" s="379"/>
      <c r="C48" s="495"/>
      <c r="D48" s="495"/>
      <c r="E48" s="505"/>
      <c r="F48" s="387"/>
      <c r="G48" s="133"/>
      <c r="H48" s="1120">
        <f t="shared" si="3"/>
        <v>0</v>
      </c>
      <c r="I48" s="389"/>
      <c r="J48" s="388"/>
      <c r="K48" s="446"/>
      <c r="L48" s="446"/>
      <c r="M48" s="373">
        <f>IF(F48="y",(((K48+L48)*Rates!$I$362))/12,((K48+L48)/12))</f>
        <v>0</v>
      </c>
      <c r="N48" s="485">
        <f t="shared" si="10"/>
        <v>0</v>
      </c>
      <c r="O48" s="254">
        <f t="shared" si="11"/>
        <v>0</v>
      </c>
      <c r="P48" s="355">
        <f t="shared" si="6"/>
        <v>0</v>
      </c>
      <c r="Q48" s="32">
        <f t="shared" si="7"/>
        <v>0</v>
      </c>
      <c r="R48" s="12"/>
      <c r="S48" s="391"/>
      <c r="T48" s="1120">
        <f t="shared" si="8"/>
        <v>0</v>
      </c>
      <c r="U48" s="389"/>
      <c r="V48" s="388"/>
      <c r="W48" s="446"/>
      <c r="X48" s="446"/>
      <c r="Y48" s="390"/>
      <c r="Z48" s="101">
        <f t="shared" si="0"/>
        <v>0</v>
      </c>
      <c r="AA48" s="373">
        <f>IF(F48="y",((((W48+X48+Y48+Z48)*T48)*Rates!$C$379))/12,(((W48+X48+Y48+Z48)*T48)/12))</f>
        <v>0</v>
      </c>
      <c r="AB48" s="254">
        <f t="shared" si="9"/>
        <v>0</v>
      </c>
      <c r="AC48" s="33">
        <f t="shared" si="12"/>
        <v>0</v>
      </c>
      <c r="AD48" s="427">
        <f t="shared" si="2"/>
        <v>0</v>
      </c>
      <c r="AE48" s="38">
        <v>39</v>
      </c>
      <c r="AF48" s="387"/>
      <c r="AG48" s="1070"/>
      <c r="AH48" s="387"/>
      <c r="AI48" s="1070"/>
      <c r="AJ48" s="387"/>
      <c r="AK48" s="1070"/>
      <c r="AL48" s="428"/>
      <c r="AM48" s="428"/>
      <c r="AN48" s="623"/>
      <c r="AO48" s="267"/>
      <c r="AP48" s="267"/>
      <c r="AQ48" s="267"/>
      <c r="AR48" s="267"/>
      <c r="AS48" s="267"/>
      <c r="AT48" s="267"/>
      <c r="AU48" s="267"/>
    </row>
    <row r="49" spans="1:47" ht="27" hidden="1" customHeight="1" x14ac:dyDescent="0.2">
      <c r="A49" s="38">
        <v>40</v>
      </c>
      <c r="B49" s="379"/>
      <c r="C49" s="495"/>
      <c r="D49" s="495"/>
      <c r="E49" s="505"/>
      <c r="F49" s="387"/>
      <c r="G49" s="133"/>
      <c r="H49" s="1120">
        <f t="shared" si="3"/>
        <v>0</v>
      </c>
      <c r="I49" s="389"/>
      <c r="J49" s="388"/>
      <c r="K49" s="446"/>
      <c r="L49" s="446"/>
      <c r="M49" s="373">
        <f>IF(F49="y",(((K49+L49)*Rates!$I$362))/12,((K49+L49)/12))</f>
        <v>0</v>
      </c>
      <c r="N49" s="485">
        <f t="shared" si="10"/>
        <v>0</v>
      </c>
      <c r="O49" s="254">
        <f t="shared" si="11"/>
        <v>0</v>
      </c>
      <c r="P49" s="355">
        <f t="shared" si="6"/>
        <v>0</v>
      </c>
      <c r="Q49" s="32">
        <f t="shared" si="7"/>
        <v>0</v>
      </c>
      <c r="R49" s="12"/>
      <c r="S49" s="391"/>
      <c r="T49" s="1120">
        <f t="shared" si="8"/>
        <v>0</v>
      </c>
      <c r="U49" s="389"/>
      <c r="V49" s="388"/>
      <c r="W49" s="446"/>
      <c r="X49" s="446"/>
      <c r="Y49" s="390"/>
      <c r="Z49" s="101">
        <f t="shared" si="0"/>
        <v>0</v>
      </c>
      <c r="AA49" s="373">
        <f>IF(F49="y",((((W49+X49+Y49+Z49)*T49)*Rates!$C$379))/12,(((W49+X49+Y49+Z49)*T49)/12))</f>
        <v>0</v>
      </c>
      <c r="AB49" s="254">
        <f t="shared" si="9"/>
        <v>0</v>
      </c>
      <c r="AC49" s="33">
        <f t="shared" si="12"/>
        <v>0</v>
      </c>
      <c r="AD49" s="427">
        <f t="shared" si="2"/>
        <v>0</v>
      </c>
      <c r="AE49" s="38">
        <v>40</v>
      </c>
      <c r="AF49" s="387"/>
      <c r="AG49" s="1070"/>
      <c r="AH49" s="387"/>
      <c r="AI49" s="1070"/>
      <c r="AJ49" s="387"/>
      <c r="AK49" s="1070"/>
      <c r="AL49" s="428"/>
      <c r="AM49" s="428"/>
      <c r="AN49" s="623"/>
      <c r="AO49" s="267"/>
      <c r="AP49" s="267"/>
      <c r="AQ49" s="267"/>
      <c r="AR49" s="267"/>
      <c r="AS49" s="267"/>
      <c r="AT49" s="267"/>
      <c r="AU49" s="267"/>
    </row>
    <row r="50" spans="1:47" ht="27" hidden="1" customHeight="1" x14ac:dyDescent="0.2">
      <c r="A50" s="38">
        <v>41</v>
      </c>
      <c r="B50" s="379"/>
      <c r="C50" s="495"/>
      <c r="D50" s="495"/>
      <c r="E50" s="505"/>
      <c r="F50" s="387"/>
      <c r="G50" s="133"/>
      <c r="H50" s="1120">
        <f t="shared" si="3"/>
        <v>0</v>
      </c>
      <c r="I50" s="389"/>
      <c r="J50" s="388"/>
      <c r="K50" s="446"/>
      <c r="L50" s="446"/>
      <c r="M50" s="373">
        <f>IF(F50="y",(((K50+L50)*Rates!$I$362))/12,((K50+L50)/12))</f>
        <v>0</v>
      </c>
      <c r="N50" s="485">
        <f t="shared" si="10"/>
        <v>0</v>
      </c>
      <c r="O50" s="254">
        <f t="shared" si="11"/>
        <v>0</v>
      </c>
      <c r="P50" s="355">
        <f t="shared" si="6"/>
        <v>0</v>
      </c>
      <c r="Q50" s="32">
        <f t="shared" si="7"/>
        <v>0</v>
      </c>
      <c r="R50" s="12"/>
      <c r="S50" s="391"/>
      <c r="T50" s="1120">
        <f t="shared" si="8"/>
        <v>0</v>
      </c>
      <c r="U50" s="389"/>
      <c r="V50" s="388"/>
      <c r="W50" s="446"/>
      <c r="X50" s="446"/>
      <c r="Y50" s="390"/>
      <c r="Z50" s="101">
        <f t="shared" si="0"/>
        <v>0</v>
      </c>
      <c r="AA50" s="373">
        <f>IF(F50="y",((((W50+X50+Y50+Z50)*T50)*Rates!$C$379))/12,(((W50+X50+Y50+Z50)*T50)/12))</f>
        <v>0</v>
      </c>
      <c r="AB50" s="254">
        <f t="shared" si="9"/>
        <v>0</v>
      </c>
      <c r="AC50" s="33">
        <f t="shared" si="12"/>
        <v>0</v>
      </c>
      <c r="AD50" s="427">
        <f t="shared" si="2"/>
        <v>0</v>
      </c>
      <c r="AE50" s="38">
        <v>41</v>
      </c>
      <c r="AF50" s="387"/>
      <c r="AG50" s="1070"/>
      <c r="AH50" s="387"/>
      <c r="AI50" s="1070"/>
      <c r="AJ50" s="387"/>
      <c r="AK50" s="1070"/>
      <c r="AL50" s="428"/>
      <c r="AM50" s="428"/>
      <c r="AN50" s="623"/>
      <c r="AO50" s="267"/>
      <c r="AP50" s="267"/>
      <c r="AQ50" s="267"/>
      <c r="AR50" s="267"/>
      <c r="AS50" s="267"/>
      <c r="AT50" s="267"/>
      <c r="AU50" s="267"/>
    </row>
    <row r="51" spans="1:47" ht="27" hidden="1" customHeight="1" x14ac:dyDescent="0.2">
      <c r="A51" s="38">
        <v>42</v>
      </c>
      <c r="B51" s="379"/>
      <c r="C51" s="495"/>
      <c r="D51" s="495"/>
      <c r="E51" s="505"/>
      <c r="F51" s="387"/>
      <c r="G51" s="133"/>
      <c r="H51" s="1120">
        <f t="shared" si="3"/>
        <v>0</v>
      </c>
      <c r="I51" s="389"/>
      <c r="J51" s="388"/>
      <c r="K51" s="446"/>
      <c r="L51" s="446"/>
      <c r="M51" s="373">
        <f>IF(F51="y",(((K51+L51)*Rates!$I$362))/12,((K51+L51)/12))</f>
        <v>0</v>
      </c>
      <c r="N51" s="485">
        <f t="shared" si="10"/>
        <v>0</v>
      </c>
      <c r="O51" s="254">
        <f t="shared" si="11"/>
        <v>0</v>
      </c>
      <c r="P51" s="355">
        <f t="shared" si="6"/>
        <v>0</v>
      </c>
      <c r="Q51" s="32">
        <f t="shared" si="7"/>
        <v>0</v>
      </c>
      <c r="R51" s="12"/>
      <c r="S51" s="391"/>
      <c r="T51" s="1120">
        <f t="shared" si="8"/>
        <v>0</v>
      </c>
      <c r="U51" s="389"/>
      <c r="V51" s="388"/>
      <c r="W51" s="446"/>
      <c r="X51" s="446"/>
      <c r="Y51" s="390"/>
      <c r="Z51" s="101">
        <f t="shared" si="0"/>
        <v>0</v>
      </c>
      <c r="AA51" s="373">
        <f>IF(F51="y",((((W51+X51+Y51+Z51)*T51)*Rates!$C$379))/12,(((W51+X51+Y51+Z51)*T51)/12))</f>
        <v>0</v>
      </c>
      <c r="AB51" s="254">
        <f t="shared" si="9"/>
        <v>0</v>
      </c>
      <c r="AC51" s="33">
        <f t="shared" si="12"/>
        <v>0</v>
      </c>
      <c r="AD51" s="427">
        <f t="shared" si="2"/>
        <v>0</v>
      </c>
      <c r="AE51" s="38">
        <v>42</v>
      </c>
      <c r="AF51" s="387"/>
      <c r="AG51" s="1070"/>
      <c r="AH51" s="387"/>
      <c r="AI51" s="1070"/>
      <c r="AJ51" s="387"/>
      <c r="AK51" s="1070"/>
      <c r="AL51" s="428"/>
      <c r="AM51" s="428"/>
      <c r="AN51" s="623"/>
      <c r="AO51" s="267"/>
      <c r="AP51" s="267"/>
      <c r="AQ51" s="267"/>
      <c r="AR51" s="267"/>
      <c r="AS51" s="267"/>
      <c r="AT51" s="267"/>
      <c r="AU51" s="267"/>
    </row>
    <row r="52" spans="1:47" ht="27" hidden="1" customHeight="1" x14ac:dyDescent="0.2">
      <c r="A52" s="38">
        <v>43</v>
      </c>
      <c r="B52" s="379"/>
      <c r="C52" s="495"/>
      <c r="D52" s="495"/>
      <c r="E52" s="505"/>
      <c r="F52" s="387"/>
      <c r="G52" s="133"/>
      <c r="H52" s="1120">
        <f t="shared" si="3"/>
        <v>0</v>
      </c>
      <c r="I52" s="389"/>
      <c r="J52" s="388"/>
      <c r="K52" s="446"/>
      <c r="L52" s="446"/>
      <c r="M52" s="373">
        <f>IF(F52="y",(((K52+L52)*Rates!$I$362))/12,((K52+L52)/12))</f>
        <v>0</v>
      </c>
      <c r="N52" s="485">
        <f t="shared" si="10"/>
        <v>0</v>
      </c>
      <c r="O52" s="254">
        <f t="shared" si="11"/>
        <v>0</v>
      </c>
      <c r="P52" s="355">
        <f t="shared" si="6"/>
        <v>0</v>
      </c>
      <c r="Q52" s="32">
        <f t="shared" si="7"/>
        <v>0</v>
      </c>
      <c r="R52" s="12"/>
      <c r="S52" s="391"/>
      <c r="T52" s="1120">
        <f t="shared" si="8"/>
        <v>0</v>
      </c>
      <c r="U52" s="389"/>
      <c r="V52" s="388"/>
      <c r="W52" s="446"/>
      <c r="X52" s="446"/>
      <c r="Y52" s="390"/>
      <c r="Z52" s="101">
        <f t="shared" si="0"/>
        <v>0</v>
      </c>
      <c r="AA52" s="373">
        <f>IF(F52="y",((((W52+X52+Y52+Z52)*T52)*Rates!$C$379))/12,(((W52+X52+Y52+Z52)*T52)/12))</f>
        <v>0</v>
      </c>
      <c r="AB52" s="254">
        <f t="shared" si="9"/>
        <v>0</v>
      </c>
      <c r="AC52" s="33">
        <f t="shared" si="12"/>
        <v>0</v>
      </c>
      <c r="AD52" s="427">
        <f t="shared" si="2"/>
        <v>0</v>
      </c>
      <c r="AE52" s="38">
        <v>43</v>
      </c>
      <c r="AF52" s="387"/>
      <c r="AG52" s="1070"/>
      <c r="AH52" s="387"/>
      <c r="AI52" s="1070"/>
      <c r="AJ52" s="387"/>
      <c r="AK52" s="1070"/>
      <c r="AL52" s="428"/>
      <c r="AM52" s="428"/>
      <c r="AN52" s="623"/>
      <c r="AO52" s="267"/>
      <c r="AP52" s="267"/>
      <c r="AQ52" s="267"/>
      <c r="AR52" s="267"/>
      <c r="AS52" s="267"/>
      <c r="AT52" s="267"/>
      <c r="AU52" s="267"/>
    </row>
    <row r="53" spans="1:47" ht="27" hidden="1" customHeight="1" x14ac:dyDescent="0.2">
      <c r="A53" s="38">
        <v>44</v>
      </c>
      <c r="B53" s="379"/>
      <c r="C53" s="495"/>
      <c r="D53" s="495"/>
      <c r="E53" s="505"/>
      <c r="F53" s="387"/>
      <c r="G53" s="133"/>
      <c r="H53" s="1120">
        <f t="shared" si="3"/>
        <v>0</v>
      </c>
      <c r="I53" s="389"/>
      <c r="J53" s="388"/>
      <c r="K53" s="446"/>
      <c r="L53" s="446"/>
      <c r="M53" s="373">
        <f>IF(F53="y",(((K53+L53)*Rates!$I$362))/12,((K53+L53)/12))</f>
        <v>0</v>
      </c>
      <c r="N53" s="485">
        <f t="shared" si="10"/>
        <v>0</v>
      </c>
      <c r="O53" s="254">
        <f t="shared" si="11"/>
        <v>0</v>
      </c>
      <c r="P53" s="355">
        <f t="shared" si="6"/>
        <v>0</v>
      </c>
      <c r="Q53" s="32">
        <f t="shared" si="7"/>
        <v>0</v>
      </c>
      <c r="R53" s="12"/>
      <c r="S53" s="391"/>
      <c r="T53" s="1120">
        <f t="shared" si="8"/>
        <v>0</v>
      </c>
      <c r="U53" s="389"/>
      <c r="V53" s="388"/>
      <c r="W53" s="446"/>
      <c r="X53" s="446"/>
      <c r="Y53" s="390"/>
      <c r="Z53" s="101">
        <f t="shared" si="0"/>
        <v>0</v>
      </c>
      <c r="AA53" s="373">
        <f>IF(F53="y",((((W53+X53+Y53+Z53)*T53)*Rates!$C$379))/12,(((W53+X53+Y53+Z53)*T53)/12))</f>
        <v>0</v>
      </c>
      <c r="AB53" s="254">
        <f t="shared" si="9"/>
        <v>0</v>
      </c>
      <c r="AC53" s="33">
        <f t="shared" si="12"/>
        <v>0</v>
      </c>
      <c r="AD53" s="427">
        <f t="shared" si="2"/>
        <v>0</v>
      </c>
      <c r="AE53" s="38">
        <v>44</v>
      </c>
      <c r="AF53" s="387"/>
      <c r="AG53" s="1070"/>
      <c r="AH53" s="387"/>
      <c r="AI53" s="1070"/>
      <c r="AJ53" s="387"/>
      <c r="AK53" s="1070"/>
      <c r="AL53" s="428"/>
      <c r="AM53" s="428"/>
      <c r="AN53" s="623"/>
      <c r="AO53" s="267"/>
      <c r="AP53" s="267"/>
      <c r="AQ53" s="267"/>
      <c r="AR53" s="267"/>
      <c r="AS53" s="267"/>
      <c r="AT53" s="267"/>
      <c r="AU53" s="267"/>
    </row>
    <row r="54" spans="1:47" ht="27" hidden="1" customHeight="1" x14ac:dyDescent="0.2">
      <c r="A54" s="38">
        <v>45</v>
      </c>
      <c r="B54" s="379"/>
      <c r="C54" s="495"/>
      <c r="D54" s="495"/>
      <c r="E54" s="505"/>
      <c r="F54" s="387"/>
      <c r="G54" s="133"/>
      <c r="H54" s="1120">
        <f t="shared" si="3"/>
        <v>0</v>
      </c>
      <c r="I54" s="389"/>
      <c r="J54" s="388"/>
      <c r="K54" s="446"/>
      <c r="L54" s="446"/>
      <c r="M54" s="373">
        <f>IF(F54="y",(((K54+L54)*Rates!$I$362))/12,((K54+L54)/12))</f>
        <v>0</v>
      </c>
      <c r="N54" s="485">
        <f t="shared" si="10"/>
        <v>0</v>
      </c>
      <c r="O54" s="254">
        <f t="shared" si="11"/>
        <v>0</v>
      </c>
      <c r="P54" s="355">
        <f t="shared" si="6"/>
        <v>0</v>
      </c>
      <c r="Q54" s="32">
        <f t="shared" si="7"/>
        <v>0</v>
      </c>
      <c r="R54" s="12"/>
      <c r="S54" s="391"/>
      <c r="T54" s="1120">
        <f t="shared" si="8"/>
        <v>0</v>
      </c>
      <c r="U54" s="389"/>
      <c r="V54" s="388"/>
      <c r="W54" s="446"/>
      <c r="X54" s="446"/>
      <c r="Y54" s="390"/>
      <c r="Z54" s="101">
        <f t="shared" si="0"/>
        <v>0</v>
      </c>
      <c r="AA54" s="373">
        <f>IF(F54="y",((((W54+X54+Y54+Z54)*T54)*Rates!$C$379))/12,(((W54+X54+Y54+Z54)*T54)/12))</f>
        <v>0</v>
      </c>
      <c r="AB54" s="254">
        <f t="shared" si="9"/>
        <v>0</v>
      </c>
      <c r="AC54" s="33">
        <f t="shared" si="12"/>
        <v>0</v>
      </c>
      <c r="AD54" s="427">
        <f t="shared" si="2"/>
        <v>0</v>
      </c>
      <c r="AE54" s="38">
        <v>45</v>
      </c>
      <c r="AF54" s="387"/>
      <c r="AG54" s="1070"/>
      <c r="AH54" s="387"/>
      <c r="AI54" s="1070"/>
      <c r="AJ54" s="387"/>
      <c r="AK54" s="1070"/>
      <c r="AL54" s="428"/>
      <c r="AM54" s="428"/>
      <c r="AN54" s="623"/>
      <c r="AO54" s="267"/>
      <c r="AP54" s="267"/>
      <c r="AQ54" s="267"/>
      <c r="AR54" s="267"/>
      <c r="AS54" s="267"/>
      <c r="AT54" s="267"/>
      <c r="AU54" s="267"/>
    </row>
    <row r="55" spans="1:47" ht="27" hidden="1" customHeight="1" x14ac:dyDescent="0.2">
      <c r="A55" s="38">
        <v>46</v>
      </c>
      <c r="B55" s="379"/>
      <c r="C55" s="495"/>
      <c r="D55" s="495"/>
      <c r="E55" s="505"/>
      <c r="F55" s="387"/>
      <c r="G55" s="133"/>
      <c r="H55" s="1120">
        <f t="shared" si="3"/>
        <v>0</v>
      </c>
      <c r="I55" s="389"/>
      <c r="J55" s="388"/>
      <c r="K55" s="446"/>
      <c r="L55" s="446"/>
      <c r="M55" s="373">
        <f>IF(F55="y",(((K55+L55)*Rates!$I$362))/12,((K55+L55)/12))</f>
        <v>0</v>
      </c>
      <c r="N55" s="485">
        <f t="shared" si="10"/>
        <v>0</v>
      </c>
      <c r="O55" s="254">
        <f t="shared" si="11"/>
        <v>0</v>
      </c>
      <c r="P55" s="355">
        <f t="shared" si="6"/>
        <v>0</v>
      </c>
      <c r="Q55" s="32">
        <f t="shared" si="7"/>
        <v>0</v>
      </c>
      <c r="R55" s="12"/>
      <c r="S55" s="391"/>
      <c r="T55" s="1120">
        <f t="shared" si="8"/>
        <v>0</v>
      </c>
      <c r="U55" s="389"/>
      <c r="V55" s="388"/>
      <c r="W55" s="446"/>
      <c r="X55" s="446"/>
      <c r="Y55" s="390"/>
      <c r="Z55" s="101">
        <f t="shared" si="0"/>
        <v>0</v>
      </c>
      <c r="AA55" s="373">
        <f>IF(F55="y",((((W55+X55+Y55+Z55)*T55)*Rates!$C$379))/12,(((W55+X55+Y55+Z55)*T55)/12))</f>
        <v>0</v>
      </c>
      <c r="AB55" s="254">
        <f t="shared" si="9"/>
        <v>0</v>
      </c>
      <c r="AC55" s="33">
        <f t="shared" si="12"/>
        <v>0</v>
      </c>
      <c r="AD55" s="427">
        <f t="shared" si="2"/>
        <v>0</v>
      </c>
      <c r="AE55" s="38">
        <v>46</v>
      </c>
      <c r="AF55" s="387"/>
      <c r="AG55" s="1070"/>
      <c r="AH55" s="387"/>
      <c r="AI55" s="1070"/>
      <c r="AJ55" s="387"/>
      <c r="AK55" s="1070"/>
      <c r="AL55" s="428"/>
      <c r="AM55" s="428"/>
      <c r="AN55" s="623"/>
      <c r="AO55" s="267"/>
      <c r="AP55" s="267"/>
      <c r="AQ55" s="267"/>
      <c r="AR55" s="267"/>
      <c r="AS55" s="267"/>
      <c r="AT55" s="267"/>
      <c r="AU55" s="267"/>
    </row>
    <row r="56" spans="1:47" ht="27" hidden="1" customHeight="1" x14ac:dyDescent="0.2">
      <c r="A56" s="38">
        <v>47</v>
      </c>
      <c r="B56" s="379"/>
      <c r="C56" s="495"/>
      <c r="D56" s="495"/>
      <c r="E56" s="505"/>
      <c r="F56" s="387"/>
      <c r="G56" s="133"/>
      <c r="H56" s="1120">
        <f t="shared" si="3"/>
        <v>0</v>
      </c>
      <c r="I56" s="389"/>
      <c r="J56" s="388"/>
      <c r="K56" s="446"/>
      <c r="L56" s="446"/>
      <c r="M56" s="373">
        <f>IF(F56="y",(((K56+L56)*Rates!$I$362))/12,((K56+L56)/12))</f>
        <v>0</v>
      </c>
      <c r="N56" s="485">
        <f t="shared" si="10"/>
        <v>0</v>
      </c>
      <c r="O56" s="254">
        <f t="shared" si="11"/>
        <v>0</v>
      </c>
      <c r="P56" s="355">
        <f t="shared" si="6"/>
        <v>0</v>
      </c>
      <c r="Q56" s="32">
        <f t="shared" si="7"/>
        <v>0</v>
      </c>
      <c r="R56" s="12"/>
      <c r="S56" s="391"/>
      <c r="T56" s="1120">
        <f t="shared" si="8"/>
        <v>0</v>
      </c>
      <c r="U56" s="389"/>
      <c r="V56" s="388"/>
      <c r="W56" s="446"/>
      <c r="X56" s="446"/>
      <c r="Y56" s="390"/>
      <c r="Z56" s="101">
        <f t="shared" si="0"/>
        <v>0</v>
      </c>
      <c r="AA56" s="373">
        <f>IF(F56="y",((((W56+X56+Y56+Z56)*T56)*Rates!$C$379))/12,(((W56+X56+Y56+Z56)*T56)/12))</f>
        <v>0</v>
      </c>
      <c r="AB56" s="254">
        <f t="shared" si="9"/>
        <v>0</v>
      </c>
      <c r="AC56" s="33">
        <f t="shared" si="12"/>
        <v>0</v>
      </c>
      <c r="AD56" s="427">
        <f t="shared" si="2"/>
        <v>0</v>
      </c>
      <c r="AE56" s="38">
        <v>47</v>
      </c>
      <c r="AF56" s="387"/>
      <c r="AG56" s="1070"/>
      <c r="AH56" s="387"/>
      <c r="AI56" s="1070"/>
      <c r="AJ56" s="387"/>
      <c r="AK56" s="1070"/>
      <c r="AL56" s="428"/>
      <c r="AM56" s="428"/>
      <c r="AN56" s="623"/>
      <c r="AO56" s="267"/>
      <c r="AP56" s="267"/>
      <c r="AQ56" s="267"/>
      <c r="AR56" s="267"/>
      <c r="AS56" s="267"/>
      <c r="AT56" s="267"/>
      <c r="AU56" s="267"/>
    </row>
    <row r="57" spans="1:47" ht="27" hidden="1" customHeight="1" x14ac:dyDescent="0.2">
      <c r="A57" s="38">
        <v>48</v>
      </c>
      <c r="B57" s="379"/>
      <c r="C57" s="495"/>
      <c r="D57" s="495"/>
      <c r="E57" s="505"/>
      <c r="F57" s="387"/>
      <c r="G57" s="133"/>
      <c r="H57" s="1120">
        <f t="shared" si="3"/>
        <v>0</v>
      </c>
      <c r="I57" s="389"/>
      <c r="J57" s="388"/>
      <c r="K57" s="446"/>
      <c r="L57" s="446"/>
      <c r="M57" s="373">
        <f>IF(F57="y",(((K57+L57)*Rates!$I$362))/12,((K57+L57)/12))</f>
        <v>0</v>
      </c>
      <c r="N57" s="485">
        <f t="shared" si="10"/>
        <v>0</v>
      </c>
      <c r="O57" s="254">
        <f t="shared" si="11"/>
        <v>0</v>
      </c>
      <c r="P57" s="355">
        <f t="shared" si="6"/>
        <v>0</v>
      </c>
      <c r="Q57" s="32">
        <f t="shared" si="7"/>
        <v>0</v>
      </c>
      <c r="R57" s="12"/>
      <c r="S57" s="391"/>
      <c r="T57" s="1120">
        <f t="shared" si="8"/>
        <v>0</v>
      </c>
      <c r="U57" s="389"/>
      <c r="V57" s="388"/>
      <c r="W57" s="446"/>
      <c r="X57" s="446"/>
      <c r="Y57" s="390"/>
      <c r="Z57" s="101">
        <f t="shared" si="0"/>
        <v>0</v>
      </c>
      <c r="AA57" s="373">
        <f>IF(F57="y",((((W57+X57+Y57+Z57)*T57)*Rates!$C$379))/12,(((W57+X57+Y57+Z57)*T57)/12))</f>
        <v>0</v>
      </c>
      <c r="AB57" s="254">
        <f t="shared" si="9"/>
        <v>0</v>
      </c>
      <c r="AC57" s="33">
        <f t="shared" si="12"/>
        <v>0</v>
      </c>
      <c r="AD57" s="427">
        <f t="shared" si="2"/>
        <v>0</v>
      </c>
      <c r="AE57" s="38">
        <v>48</v>
      </c>
      <c r="AF57" s="387"/>
      <c r="AG57" s="1070"/>
      <c r="AH57" s="387"/>
      <c r="AI57" s="1070"/>
      <c r="AJ57" s="387"/>
      <c r="AK57" s="1070"/>
      <c r="AL57" s="428"/>
      <c r="AM57" s="428"/>
      <c r="AN57" s="623"/>
      <c r="AO57" s="267"/>
      <c r="AP57" s="267"/>
      <c r="AQ57" s="267"/>
      <c r="AR57" s="267"/>
      <c r="AS57" s="267"/>
      <c r="AT57" s="267"/>
      <c r="AU57" s="267"/>
    </row>
    <row r="58" spans="1:47" ht="27" hidden="1" customHeight="1" x14ac:dyDescent="0.2">
      <c r="A58" s="38">
        <v>49</v>
      </c>
      <c r="B58" s="379"/>
      <c r="C58" s="495"/>
      <c r="D58" s="495"/>
      <c r="E58" s="505"/>
      <c r="F58" s="387"/>
      <c r="G58" s="133"/>
      <c r="H58" s="1120">
        <f t="shared" si="3"/>
        <v>0</v>
      </c>
      <c r="I58" s="389"/>
      <c r="J58" s="388"/>
      <c r="K58" s="446"/>
      <c r="L58" s="446"/>
      <c r="M58" s="373">
        <f>IF(F58="y",(((K58+L58)*Rates!$I$362))/12,((K58+L58)/12))</f>
        <v>0</v>
      </c>
      <c r="N58" s="485">
        <f t="shared" si="10"/>
        <v>0</v>
      </c>
      <c r="O58" s="254">
        <f t="shared" si="11"/>
        <v>0</v>
      </c>
      <c r="P58" s="355">
        <f t="shared" si="6"/>
        <v>0</v>
      </c>
      <c r="Q58" s="32">
        <f t="shared" si="7"/>
        <v>0</v>
      </c>
      <c r="R58" s="12"/>
      <c r="S58" s="391"/>
      <c r="T58" s="1120">
        <f t="shared" si="8"/>
        <v>0</v>
      </c>
      <c r="U58" s="389"/>
      <c r="V58" s="388"/>
      <c r="W58" s="446"/>
      <c r="X58" s="446"/>
      <c r="Y58" s="390"/>
      <c r="Z58" s="101">
        <f t="shared" si="0"/>
        <v>0</v>
      </c>
      <c r="AA58" s="373">
        <f>IF(F58="y",((((W58+X58+Y58+Z58)*T58)*Rates!$C$379))/12,(((W58+X58+Y58+Z58)*T58)/12))</f>
        <v>0</v>
      </c>
      <c r="AB58" s="254">
        <f t="shared" si="9"/>
        <v>0</v>
      </c>
      <c r="AC58" s="33">
        <f t="shared" si="12"/>
        <v>0</v>
      </c>
      <c r="AD58" s="427">
        <f t="shared" si="2"/>
        <v>0</v>
      </c>
      <c r="AE58" s="38">
        <v>49</v>
      </c>
      <c r="AF58" s="387"/>
      <c r="AG58" s="1070"/>
      <c r="AH58" s="387"/>
      <c r="AI58" s="1070"/>
      <c r="AJ58" s="387"/>
      <c r="AK58" s="1070"/>
      <c r="AL58" s="428"/>
      <c r="AM58" s="428"/>
      <c r="AN58" s="623"/>
      <c r="AO58" s="267"/>
      <c r="AP58" s="267"/>
      <c r="AQ58" s="267"/>
      <c r="AR58" s="267"/>
      <c r="AS58" s="267"/>
      <c r="AT58" s="267"/>
      <c r="AU58" s="267"/>
    </row>
    <row r="59" spans="1:47" ht="27" hidden="1" customHeight="1" x14ac:dyDescent="0.2">
      <c r="A59" s="38">
        <v>50</v>
      </c>
      <c r="B59" s="379"/>
      <c r="C59" s="495"/>
      <c r="D59" s="495"/>
      <c r="E59" s="505"/>
      <c r="F59" s="387"/>
      <c r="G59" s="133"/>
      <c r="H59" s="1120">
        <f t="shared" si="3"/>
        <v>0</v>
      </c>
      <c r="I59" s="389"/>
      <c r="J59" s="388"/>
      <c r="K59" s="446"/>
      <c r="L59" s="446"/>
      <c r="M59" s="373">
        <f>IF(F59="y",(((K59+L59)*Rates!$I$362))/12,((K59+L59)/12))</f>
        <v>0</v>
      </c>
      <c r="N59" s="485">
        <f t="shared" si="10"/>
        <v>0</v>
      </c>
      <c r="O59" s="254">
        <f t="shared" si="11"/>
        <v>0</v>
      </c>
      <c r="P59" s="355">
        <f t="shared" si="6"/>
        <v>0</v>
      </c>
      <c r="Q59" s="32">
        <f t="shared" si="7"/>
        <v>0</v>
      </c>
      <c r="R59" s="12"/>
      <c r="S59" s="391"/>
      <c r="T59" s="1120">
        <f t="shared" si="8"/>
        <v>0</v>
      </c>
      <c r="U59" s="389"/>
      <c r="V59" s="388"/>
      <c r="W59" s="446"/>
      <c r="X59" s="446"/>
      <c r="Y59" s="390"/>
      <c r="Z59" s="101">
        <f t="shared" si="0"/>
        <v>0</v>
      </c>
      <c r="AA59" s="373">
        <f>IF(F59="y",((((W59+X59+Y59+Z59)*T59)*Rates!$C$379))/12,(((W59+X59+Y59+Z59)*T59)/12))</f>
        <v>0</v>
      </c>
      <c r="AB59" s="254">
        <f t="shared" si="9"/>
        <v>0</v>
      </c>
      <c r="AC59" s="33">
        <f t="shared" si="12"/>
        <v>0</v>
      </c>
      <c r="AD59" s="427">
        <f t="shared" si="2"/>
        <v>0</v>
      </c>
      <c r="AE59" s="38">
        <v>50</v>
      </c>
      <c r="AF59" s="387"/>
      <c r="AG59" s="1070"/>
      <c r="AH59" s="387"/>
      <c r="AI59" s="1070"/>
      <c r="AJ59" s="387"/>
      <c r="AK59" s="1070"/>
      <c r="AL59" s="428"/>
      <c r="AM59" s="428"/>
      <c r="AN59" s="623"/>
      <c r="AO59" s="267"/>
      <c r="AP59" s="267"/>
      <c r="AQ59" s="267"/>
      <c r="AR59" s="267"/>
      <c r="AS59" s="267"/>
      <c r="AT59" s="267"/>
      <c r="AU59" s="267"/>
    </row>
    <row r="60" spans="1:47" ht="27" hidden="1" customHeight="1" x14ac:dyDescent="0.2">
      <c r="A60" s="38">
        <v>51</v>
      </c>
      <c r="B60" s="379"/>
      <c r="C60" s="495"/>
      <c r="D60" s="495"/>
      <c r="E60" s="505"/>
      <c r="F60" s="387"/>
      <c r="G60" s="133"/>
      <c r="H60" s="1120">
        <f t="shared" si="3"/>
        <v>0</v>
      </c>
      <c r="I60" s="389"/>
      <c r="J60" s="388"/>
      <c r="K60" s="446"/>
      <c r="L60" s="446"/>
      <c r="M60" s="373">
        <f>IF(F60="y",(((K60+L60)*Rates!$I$362))/12,((K60+L60)/12))</f>
        <v>0</v>
      </c>
      <c r="N60" s="485">
        <f t="shared" si="10"/>
        <v>0</v>
      </c>
      <c r="O60" s="254">
        <f t="shared" si="11"/>
        <v>0</v>
      </c>
      <c r="P60" s="355">
        <f t="shared" si="6"/>
        <v>0</v>
      </c>
      <c r="Q60" s="32">
        <f t="shared" si="7"/>
        <v>0</v>
      </c>
      <c r="R60" s="12"/>
      <c r="S60" s="391"/>
      <c r="T60" s="1120">
        <f t="shared" si="8"/>
        <v>0</v>
      </c>
      <c r="U60" s="389"/>
      <c r="V60" s="388"/>
      <c r="W60" s="446"/>
      <c r="X60" s="446"/>
      <c r="Y60" s="390"/>
      <c r="Z60" s="101">
        <f t="shared" si="0"/>
        <v>0</v>
      </c>
      <c r="AA60" s="373">
        <f>IF(F60="y",((((W60+X60+Y60+Z60)*T60)*Rates!$C$379))/12,(((W60+X60+Y60+Z60)*T60)/12))</f>
        <v>0</v>
      </c>
      <c r="AB60" s="254">
        <f t="shared" si="9"/>
        <v>0</v>
      </c>
      <c r="AC60" s="33">
        <f t="shared" si="12"/>
        <v>0</v>
      </c>
      <c r="AD60" s="427">
        <f t="shared" si="2"/>
        <v>0</v>
      </c>
      <c r="AE60" s="38">
        <v>51</v>
      </c>
      <c r="AF60" s="387"/>
      <c r="AG60" s="1070"/>
      <c r="AH60" s="387"/>
      <c r="AI60" s="1070"/>
      <c r="AJ60" s="387"/>
      <c r="AK60" s="1070"/>
      <c r="AL60" s="428"/>
      <c r="AM60" s="428"/>
      <c r="AN60" s="623"/>
      <c r="AO60" s="267"/>
      <c r="AP60" s="267"/>
      <c r="AQ60" s="267"/>
      <c r="AR60" s="267"/>
      <c r="AS60" s="267"/>
      <c r="AT60" s="267"/>
      <c r="AU60" s="267"/>
    </row>
    <row r="61" spans="1:47" ht="27" hidden="1" customHeight="1" x14ac:dyDescent="0.2">
      <c r="A61" s="38">
        <v>52</v>
      </c>
      <c r="B61" s="379"/>
      <c r="C61" s="495"/>
      <c r="D61" s="495"/>
      <c r="E61" s="505"/>
      <c r="F61" s="387"/>
      <c r="G61" s="133"/>
      <c r="H61" s="1120">
        <f t="shared" si="3"/>
        <v>0</v>
      </c>
      <c r="I61" s="389"/>
      <c r="J61" s="388"/>
      <c r="K61" s="446"/>
      <c r="L61" s="446"/>
      <c r="M61" s="373">
        <f>IF(F61="y",(((K61+L61)*Rates!$I$362))/12,((K61+L61)/12))</f>
        <v>0</v>
      </c>
      <c r="N61" s="485">
        <f t="shared" si="10"/>
        <v>0</v>
      </c>
      <c r="O61" s="254">
        <f t="shared" si="11"/>
        <v>0</v>
      </c>
      <c r="P61" s="355">
        <f t="shared" si="6"/>
        <v>0</v>
      </c>
      <c r="Q61" s="32">
        <f t="shared" si="7"/>
        <v>0</v>
      </c>
      <c r="R61" s="12"/>
      <c r="S61" s="391"/>
      <c r="T61" s="1120">
        <f t="shared" si="8"/>
        <v>0</v>
      </c>
      <c r="U61" s="389"/>
      <c r="V61" s="388"/>
      <c r="W61" s="446"/>
      <c r="X61" s="446"/>
      <c r="Y61" s="390"/>
      <c r="Z61" s="101">
        <f t="shared" si="0"/>
        <v>0</v>
      </c>
      <c r="AA61" s="373">
        <f>IF(F61="y",((((W61+X61+Y61+Z61)*T61)*Rates!$C$379))/12,(((W61+X61+Y61+Z61)*T61)/12))</f>
        <v>0</v>
      </c>
      <c r="AB61" s="254">
        <f t="shared" si="9"/>
        <v>0</v>
      </c>
      <c r="AC61" s="33">
        <f t="shared" si="12"/>
        <v>0</v>
      </c>
      <c r="AD61" s="427">
        <f t="shared" si="2"/>
        <v>0</v>
      </c>
      <c r="AE61" s="38">
        <v>52</v>
      </c>
      <c r="AF61" s="387"/>
      <c r="AG61" s="1070"/>
      <c r="AH61" s="387"/>
      <c r="AI61" s="1070"/>
      <c r="AJ61" s="387"/>
      <c r="AK61" s="1070"/>
      <c r="AL61" s="428"/>
      <c r="AM61" s="428"/>
      <c r="AN61" s="623"/>
      <c r="AO61" s="267"/>
      <c r="AP61" s="267"/>
      <c r="AQ61" s="267"/>
      <c r="AR61" s="267"/>
      <c r="AS61" s="267"/>
      <c r="AT61" s="267"/>
      <c r="AU61" s="267"/>
    </row>
    <row r="62" spans="1:47" ht="27" hidden="1" customHeight="1" x14ac:dyDescent="0.2">
      <c r="A62" s="38">
        <v>53</v>
      </c>
      <c r="B62" s="379"/>
      <c r="C62" s="495"/>
      <c r="D62" s="495"/>
      <c r="E62" s="505"/>
      <c r="F62" s="387"/>
      <c r="G62" s="133"/>
      <c r="H62" s="1120">
        <f t="shared" si="3"/>
        <v>0</v>
      </c>
      <c r="I62" s="389"/>
      <c r="J62" s="388"/>
      <c r="K62" s="446"/>
      <c r="L62" s="446"/>
      <c r="M62" s="373">
        <f>IF(F62="y",(((K62+L62)*Rates!$I$362))/12,((K62+L62)/12))</f>
        <v>0</v>
      </c>
      <c r="N62" s="485">
        <f t="shared" si="10"/>
        <v>0</v>
      </c>
      <c r="O62" s="254">
        <f t="shared" si="11"/>
        <v>0</v>
      </c>
      <c r="P62" s="355">
        <f t="shared" si="6"/>
        <v>0</v>
      </c>
      <c r="Q62" s="32">
        <f t="shared" si="7"/>
        <v>0</v>
      </c>
      <c r="R62" s="12"/>
      <c r="S62" s="391"/>
      <c r="T62" s="1120">
        <f t="shared" si="8"/>
        <v>0</v>
      </c>
      <c r="U62" s="389"/>
      <c r="V62" s="388"/>
      <c r="W62" s="446"/>
      <c r="X62" s="446"/>
      <c r="Y62" s="390"/>
      <c r="Z62" s="101">
        <f t="shared" si="0"/>
        <v>0</v>
      </c>
      <c r="AA62" s="373">
        <f>IF(F62="y",((((W62+X62+Y62+Z62)*T62)*Rates!$C$379))/12,(((W62+X62+Y62+Z62)*T62)/12))</f>
        <v>0</v>
      </c>
      <c r="AB62" s="254">
        <f t="shared" si="9"/>
        <v>0</v>
      </c>
      <c r="AC62" s="33">
        <f t="shared" si="12"/>
        <v>0</v>
      </c>
      <c r="AD62" s="427">
        <f t="shared" si="2"/>
        <v>0</v>
      </c>
      <c r="AE62" s="38">
        <v>53</v>
      </c>
      <c r="AF62" s="387"/>
      <c r="AG62" s="1070"/>
      <c r="AH62" s="387"/>
      <c r="AI62" s="1070"/>
      <c r="AJ62" s="387"/>
      <c r="AK62" s="1070"/>
      <c r="AL62" s="428"/>
      <c r="AM62" s="428"/>
      <c r="AN62" s="623"/>
      <c r="AO62" s="267"/>
      <c r="AP62" s="267"/>
      <c r="AQ62" s="267"/>
      <c r="AR62" s="267"/>
      <c r="AS62" s="267"/>
      <c r="AT62" s="267"/>
      <c r="AU62" s="267"/>
    </row>
    <row r="63" spans="1:47" ht="27" hidden="1" customHeight="1" x14ac:dyDescent="0.2">
      <c r="A63" s="38">
        <v>54</v>
      </c>
      <c r="B63" s="379"/>
      <c r="C63" s="495"/>
      <c r="D63" s="495"/>
      <c r="E63" s="505"/>
      <c r="F63" s="387"/>
      <c r="G63" s="133"/>
      <c r="H63" s="1120">
        <f t="shared" si="3"/>
        <v>0</v>
      </c>
      <c r="I63" s="389"/>
      <c r="J63" s="388"/>
      <c r="K63" s="446"/>
      <c r="L63" s="446"/>
      <c r="M63" s="373">
        <f>IF(F63="y",(((K63+L63)*Rates!$I$362))/12,((K63+L63)/12))</f>
        <v>0</v>
      </c>
      <c r="N63" s="485">
        <f t="shared" si="10"/>
        <v>0</v>
      </c>
      <c r="O63" s="254">
        <f t="shared" si="11"/>
        <v>0</v>
      </c>
      <c r="P63" s="355">
        <f t="shared" si="6"/>
        <v>0</v>
      </c>
      <c r="Q63" s="32">
        <f t="shared" si="7"/>
        <v>0</v>
      </c>
      <c r="R63" s="12"/>
      <c r="S63" s="391"/>
      <c r="T63" s="1120">
        <f t="shared" si="8"/>
        <v>0</v>
      </c>
      <c r="U63" s="389"/>
      <c r="V63" s="388"/>
      <c r="W63" s="446"/>
      <c r="X63" s="446"/>
      <c r="Y63" s="390"/>
      <c r="Z63" s="101">
        <f t="shared" si="0"/>
        <v>0</v>
      </c>
      <c r="AA63" s="373">
        <f>IF(F63="y",((((W63+X63+Y63+Z63)*T63)*Rates!$C$379))/12,(((W63+X63+Y63+Z63)*T63)/12))</f>
        <v>0</v>
      </c>
      <c r="AB63" s="254">
        <f t="shared" si="9"/>
        <v>0</v>
      </c>
      <c r="AC63" s="33">
        <f t="shared" si="12"/>
        <v>0</v>
      </c>
      <c r="AD63" s="427">
        <f t="shared" si="2"/>
        <v>0</v>
      </c>
      <c r="AE63" s="38">
        <v>54</v>
      </c>
      <c r="AF63" s="387"/>
      <c r="AG63" s="1070"/>
      <c r="AH63" s="387"/>
      <c r="AI63" s="1070"/>
      <c r="AJ63" s="387"/>
      <c r="AK63" s="1070"/>
      <c r="AL63" s="428"/>
      <c r="AM63" s="428"/>
      <c r="AN63" s="623"/>
      <c r="AO63" s="267"/>
      <c r="AP63" s="267"/>
      <c r="AQ63" s="267"/>
      <c r="AR63" s="267"/>
      <c r="AS63" s="267"/>
      <c r="AT63" s="267"/>
      <c r="AU63" s="267"/>
    </row>
    <row r="64" spans="1:47" ht="27" hidden="1" customHeight="1" x14ac:dyDescent="0.2">
      <c r="A64" s="38">
        <v>55</v>
      </c>
      <c r="B64" s="379"/>
      <c r="C64" s="495"/>
      <c r="D64" s="495"/>
      <c r="E64" s="505"/>
      <c r="F64" s="387"/>
      <c r="G64" s="133"/>
      <c r="H64" s="1120">
        <f t="shared" si="3"/>
        <v>0</v>
      </c>
      <c r="I64" s="389"/>
      <c r="J64" s="388"/>
      <c r="K64" s="446"/>
      <c r="L64" s="446"/>
      <c r="M64" s="373">
        <f>IF(F64="y",(((K64+L64)*Rates!$I$362))/12,((K64+L64)/12))</f>
        <v>0</v>
      </c>
      <c r="N64" s="485">
        <f t="shared" si="10"/>
        <v>0</v>
      </c>
      <c r="O64" s="254">
        <f t="shared" si="11"/>
        <v>0</v>
      </c>
      <c r="P64" s="355">
        <f t="shared" si="6"/>
        <v>0</v>
      </c>
      <c r="Q64" s="32">
        <f t="shared" si="7"/>
        <v>0</v>
      </c>
      <c r="R64" s="12"/>
      <c r="S64" s="391"/>
      <c r="T64" s="1120">
        <f t="shared" si="8"/>
        <v>0</v>
      </c>
      <c r="U64" s="389"/>
      <c r="V64" s="388"/>
      <c r="W64" s="446"/>
      <c r="X64" s="446"/>
      <c r="Y64" s="390"/>
      <c r="Z64" s="101">
        <f t="shared" si="0"/>
        <v>0</v>
      </c>
      <c r="AA64" s="373">
        <f>IF(F64="y",((((W64+X64+Y64+Z64)*T64)*Rates!$C$379))/12,(((W64+X64+Y64+Z64)*T64)/12))</f>
        <v>0</v>
      </c>
      <c r="AB64" s="254">
        <f t="shared" si="9"/>
        <v>0</v>
      </c>
      <c r="AC64" s="33">
        <f t="shared" si="12"/>
        <v>0</v>
      </c>
      <c r="AD64" s="427">
        <f t="shared" si="2"/>
        <v>0</v>
      </c>
      <c r="AE64" s="38">
        <v>55</v>
      </c>
      <c r="AF64" s="387"/>
      <c r="AG64" s="1070"/>
      <c r="AH64" s="387"/>
      <c r="AI64" s="1070"/>
      <c r="AJ64" s="387"/>
      <c r="AK64" s="1070"/>
      <c r="AL64" s="428"/>
      <c r="AM64" s="428"/>
      <c r="AN64" s="623"/>
      <c r="AO64" s="267"/>
      <c r="AP64" s="267"/>
      <c r="AQ64" s="267"/>
      <c r="AR64" s="267"/>
      <c r="AS64" s="267"/>
      <c r="AT64" s="267"/>
      <c r="AU64" s="267"/>
    </row>
    <row r="65" spans="1:47" ht="27" hidden="1" customHeight="1" x14ac:dyDescent="0.2">
      <c r="A65" s="38">
        <v>56</v>
      </c>
      <c r="B65" s="379"/>
      <c r="C65" s="495"/>
      <c r="D65" s="495"/>
      <c r="E65" s="505"/>
      <c r="F65" s="387"/>
      <c r="G65" s="133"/>
      <c r="H65" s="1120">
        <f t="shared" si="3"/>
        <v>0</v>
      </c>
      <c r="I65" s="389"/>
      <c r="J65" s="388"/>
      <c r="K65" s="446"/>
      <c r="L65" s="446"/>
      <c r="M65" s="373">
        <f>IF(F65="y",(((K65+L65)*Rates!$I$362))/12,((K65+L65)/12))</f>
        <v>0</v>
      </c>
      <c r="N65" s="485">
        <f t="shared" si="10"/>
        <v>0</v>
      </c>
      <c r="O65" s="254">
        <f t="shared" si="11"/>
        <v>0</v>
      </c>
      <c r="P65" s="355">
        <f t="shared" si="6"/>
        <v>0</v>
      </c>
      <c r="Q65" s="32">
        <f t="shared" si="7"/>
        <v>0</v>
      </c>
      <c r="R65" s="12"/>
      <c r="S65" s="391"/>
      <c r="T65" s="1120">
        <f t="shared" si="8"/>
        <v>0</v>
      </c>
      <c r="U65" s="389"/>
      <c r="V65" s="388"/>
      <c r="W65" s="446"/>
      <c r="X65" s="446"/>
      <c r="Y65" s="390"/>
      <c r="Z65" s="101">
        <f t="shared" si="0"/>
        <v>0</v>
      </c>
      <c r="AA65" s="373">
        <f>IF(F65="y",((((W65+X65+Y65+Z65)*T65)*Rates!$C$379))/12,(((W65+X65+Y65+Z65)*T65)/12))</f>
        <v>0</v>
      </c>
      <c r="AB65" s="254">
        <f t="shared" si="9"/>
        <v>0</v>
      </c>
      <c r="AC65" s="33">
        <f t="shared" si="12"/>
        <v>0</v>
      </c>
      <c r="AD65" s="427">
        <f t="shared" si="2"/>
        <v>0</v>
      </c>
      <c r="AE65" s="38">
        <v>56</v>
      </c>
      <c r="AF65" s="387"/>
      <c r="AG65" s="1070"/>
      <c r="AH65" s="387"/>
      <c r="AI65" s="1070"/>
      <c r="AJ65" s="387"/>
      <c r="AK65" s="1070"/>
      <c r="AL65" s="428"/>
      <c r="AM65" s="428"/>
      <c r="AN65" s="623"/>
      <c r="AO65" s="267"/>
      <c r="AP65" s="267"/>
      <c r="AQ65" s="267"/>
      <c r="AR65" s="267"/>
      <c r="AS65" s="267"/>
      <c r="AT65" s="267"/>
      <c r="AU65" s="267"/>
    </row>
    <row r="66" spans="1:47" ht="27" hidden="1" customHeight="1" x14ac:dyDescent="0.2">
      <c r="A66" s="38">
        <v>57</v>
      </c>
      <c r="B66" s="379"/>
      <c r="C66" s="495"/>
      <c r="D66" s="495"/>
      <c r="E66" s="505"/>
      <c r="F66" s="387"/>
      <c r="G66" s="133"/>
      <c r="H66" s="1120">
        <f t="shared" si="3"/>
        <v>0</v>
      </c>
      <c r="I66" s="389"/>
      <c r="J66" s="388"/>
      <c r="K66" s="446"/>
      <c r="L66" s="446"/>
      <c r="M66" s="373">
        <f>IF(F66="y",(((K66+L66)*Rates!$I$362))/12,((K66+L66)/12))</f>
        <v>0</v>
      </c>
      <c r="N66" s="485">
        <f t="shared" si="10"/>
        <v>0</v>
      </c>
      <c r="O66" s="254">
        <f t="shared" si="11"/>
        <v>0</v>
      </c>
      <c r="P66" s="355">
        <f t="shared" si="6"/>
        <v>0</v>
      </c>
      <c r="Q66" s="32">
        <f t="shared" si="7"/>
        <v>0</v>
      </c>
      <c r="R66" s="12"/>
      <c r="S66" s="391"/>
      <c r="T66" s="1120">
        <f t="shared" si="8"/>
        <v>0</v>
      </c>
      <c r="U66" s="389"/>
      <c r="V66" s="388"/>
      <c r="W66" s="446"/>
      <c r="X66" s="446"/>
      <c r="Y66" s="390"/>
      <c r="Z66" s="101">
        <f t="shared" si="0"/>
        <v>0</v>
      </c>
      <c r="AA66" s="373">
        <f>IF(F66="y",((((W66+X66+Y66+Z66)*T66)*Rates!$C$379))/12,(((W66+X66+Y66+Z66)*T66)/12))</f>
        <v>0</v>
      </c>
      <c r="AB66" s="254">
        <f t="shared" si="9"/>
        <v>0</v>
      </c>
      <c r="AC66" s="33">
        <f t="shared" si="12"/>
        <v>0</v>
      </c>
      <c r="AD66" s="427">
        <f t="shared" si="2"/>
        <v>0</v>
      </c>
      <c r="AE66" s="38">
        <v>57</v>
      </c>
      <c r="AF66" s="387"/>
      <c r="AG66" s="1070"/>
      <c r="AH66" s="387"/>
      <c r="AI66" s="1070"/>
      <c r="AJ66" s="387"/>
      <c r="AK66" s="1070"/>
      <c r="AL66" s="428"/>
      <c r="AM66" s="428"/>
      <c r="AN66" s="623"/>
      <c r="AO66" s="267"/>
      <c r="AP66" s="267"/>
      <c r="AQ66" s="267"/>
      <c r="AR66" s="267"/>
      <c r="AS66" s="267"/>
      <c r="AT66" s="267"/>
      <c r="AU66" s="267"/>
    </row>
    <row r="67" spans="1:47" ht="27" hidden="1" customHeight="1" x14ac:dyDescent="0.2">
      <c r="A67" s="38">
        <v>58</v>
      </c>
      <c r="B67" s="379"/>
      <c r="C67" s="495"/>
      <c r="D67" s="495"/>
      <c r="E67" s="505"/>
      <c r="F67" s="387"/>
      <c r="G67" s="133"/>
      <c r="H67" s="1120">
        <f t="shared" si="3"/>
        <v>0</v>
      </c>
      <c r="I67" s="389"/>
      <c r="J67" s="388"/>
      <c r="K67" s="446"/>
      <c r="L67" s="446"/>
      <c r="M67" s="373">
        <f>IF(F67="y",(((K67+L67)*Rates!$I$362))/12,((K67+L67)/12))</f>
        <v>0</v>
      </c>
      <c r="N67" s="485">
        <f t="shared" si="10"/>
        <v>0</v>
      </c>
      <c r="O67" s="254">
        <f t="shared" si="11"/>
        <v>0</v>
      </c>
      <c r="P67" s="355">
        <f t="shared" si="6"/>
        <v>0</v>
      </c>
      <c r="Q67" s="32">
        <f t="shared" si="7"/>
        <v>0</v>
      </c>
      <c r="R67" s="12"/>
      <c r="S67" s="391"/>
      <c r="T67" s="1120">
        <f t="shared" si="8"/>
        <v>0</v>
      </c>
      <c r="U67" s="389"/>
      <c r="V67" s="388"/>
      <c r="W67" s="446"/>
      <c r="X67" s="446"/>
      <c r="Y67" s="390"/>
      <c r="Z67" s="101">
        <f t="shared" si="0"/>
        <v>0</v>
      </c>
      <c r="AA67" s="373">
        <f>IF(F67="y",((((W67+X67+Y67+Z67)*T67)*Rates!$C$379))/12,(((W67+X67+Y67+Z67)*T67)/12))</f>
        <v>0</v>
      </c>
      <c r="AB67" s="254">
        <f t="shared" si="9"/>
        <v>0</v>
      </c>
      <c r="AC67" s="33">
        <f t="shared" si="12"/>
        <v>0</v>
      </c>
      <c r="AD67" s="427">
        <f t="shared" si="2"/>
        <v>0</v>
      </c>
      <c r="AE67" s="38">
        <v>58</v>
      </c>
      <c r="AF67" s="387"/>
      <c r="AG67" s="1070"/>
      <c r="AH67" s="387"/>
      <c r="AI67" s="1070"/>
      <c r="AJ67" s="387"/>
      <c r="AK67" s="1070"/>
      <c r="AL67" s="428"/>
      <c r="AM67" s="428"/>
      <c r="AN67" s="623"/>
      <c r="AO67" s="267"/>
      <c r="AP67" s="267"/>
      <c r="AQ67" s="267"/>
      <c r="AR67" s="267"/>
      <c r="AS67" s="267"/>
      <c r="AT67" s="267"/>
      <c r="AU67" s="267"/>
    </row>
    <row r="68" spans="1:47" ht="27" hidden="1" customHeight="1" x14ac:dyDescent="0.2">
      <c r="A68" s="38">
        <v>59</v>
      </c>
      <c r="B68" s="379"/>
      <c r="C68" s="495"/>
      <c r="D68" s="495"/>
      <c r="E68" s="505"/>
      <c r="F68" s="387"/>
      <c r="G68" s="133"/>
      <c r="H68" s="1120">
        <f t="shared" si="3"/>
        <v>0</v>
      </c>
      <c r="I68" s="389"/>
      <c r="J68" s="388"/>
      <c r="K68" s="446"/>
      <c r="L68" s="446"/>
      <c r="M68" s="373">
        <f>IF(F68="y",(((K68+L68)*Rates!$I$362))/12,((K68+L68)/12))</f>
        <v>0</v>
      </c>
      <c r="N68" s="485">
        <f t="shared" si="10"/>
        <v>0</v>
      </c>
      <c r="O68" s="254">
        <f t="shared" si="11"/>
        <v>0</v>
      </c>
      <c r="P68" s="355">
        <f t="shared" si="6"/>
        <v>0</v>
      </c>
      <c r="Q68" s="32">
        <f t="shared" si="7"/>
        <v>0</v>
      </c>
      <c r="R68" s="12"/>
      <c r="S68" s="391"/>
      <c r="T68" s="1120">
        <f t="shared" si="8"/>
        <v>0</v>
      </c>
      <c r="U68" s="389"/>
      <c r="V68" s="388"/>
      <c r="W68" s="446"/>
      <c r="X68" s="446"/>
      <c r="Y68" s="390"/>
      <c r="Z68" s="101">
        <f t="shared" si="0"/>
        <v>0</v>
      </c>
      <c r="AA68" s="373">
        <f>IF(F68="y",((((W68+X68+Y68+Z68)*T68)*Rates!$C$379))/12,(((W68+X68+Y68+Z68)*T68)/12))</f>
        <v>0</v>
      </c>
      <c r="AB68" s="254">
        <f t="shared" si="9"/>
        <v>0</v>
      </c>
      <c r="AC68" s="33">
        <f t="shared" si="12"/>
        <v>0</v>
      </c>
      <c r="AD68" s="427">
        <f t="shared" si="2"/>
        <v>0</v>
      </c>
      <c r="AE68" s="38">
        <v>59</v>
      </c>
      <c r="AF68" s="387"/>
      <c r="AG68" s="1070"/>
      <c r="AH68" s="387"/>
      <c r="AI68" s="1070"/>
      <c r="AJ68" s="387"/>
      <c r="AK68" s="1070"/>
      <c r="AL68" s="428"/>
      <c r="AM68" s="428"/>
      <c r="AN68" s="623"/>
      <c r="AO68" s="267"/>
      <c r="AP68" s="267"/>
      <c r="AQ68" s="267"/>
      <c r="AR68" s="267"/>
      <c r="AS68" s="267"/>
      <c r="AT68" s="267"/>
      <c r="AU68" s="267"/>
    </row>
    <row r="69" spans="1:47" ht="27" hidden="1" customHeight="1" x14ac:dyDescent="0.2">
      <c r="A69" s="38">
        <v>60</v>
      </c>
      <c r="B69" s="379"/>
      <c r="C69" s="495"/>
      <c r="D69" s="495"/>
      <c r="E69" s="505"/>
      <c r="F69" s="387"/>
      <c r="G69" s="133"/>
      <c r="H69" s="1120">
        <f t="shared" si="3"/>
        <v>0</v>
      </c>
      <c r="I69" s="389"/>
      <c r="J69" s="388"/>
      <c r="K69" s="446"/>
      <c r="L69" s="446"/>
      <c r="M69" s="373">
        <f>IF(F69="y",(((K69+L69)*Rates!$I$362))/12,((K69+L69)/12))</f>
        <v>0</v>
      </c>
      <c r="N69" s="485">
        <f t="shared" si="10"/>
        <v>0</v>
      </c>
      <c r="O69" s="254">
        <f t="shared" si="11"/>
        <v>0</v>
      </c>
      <c r="P69" s="355">
        <f t="shared" si="6"/>
        <v>0</v>
      </c>
      <c r="Q69" s="32">
        <f t="shared" si="7"/>
        <v>0</v>
      </c>
      <c r="R69" s="12"/>
      <c r="S69" s="391"/>
      <c r="T69" s="1120">
        <f t="shared" si="8"/>
        <v>0</v>
      </c>
      <c r="U69" s="389"/>
      <c r="V69" s="388"/>
      <c r="W69" s="446"/>
      <c r="X69" s="446"/>
      <c r="Y69" s="390"/>
      <c r="Z69" s="101">
        <f t="shared" si="0"/>
        <v>0</v>
      </c>
      <c r="AA69" s="373">
        <f>IF(F69="y",((((W69+X69+Y69+Z69)*T69)*Rates!$C$379))/12,(((W69+X69+Y69+Z69)*T69)/12))</f>
        <v>0</v>
      </c>
      <c r="AB69" s="254">
        <f t="shared" si="9"/>
        <v>0</v>
      </c>
      <c r="AC69" s="33">
        <f t="shared" si="12"/>
        <v>0</v>
      </c>
      <c r="AD69" s="427">
        <f t="shared" si="2"/>
        <v>0</v>
      </c>
      <c r="AE69" s="38">
        <v>60</v>
      </c>
      <c r="AF69" s="387"/>
      <c r="AG69" s="1070"/>
      <c r="AH69" s="387"/>
      <c r="AI69" s="1070"/>
      <c r="AJ69" s="387"/>
      <c r="AK69" s="1070"/>
      <c r="AL69" s="428"/>
      <c r="AM69" s="428"/>
      <c r="AN69" s="623"/>
      <c r="AO69" s="267"/>
      <c r="AP69" s="267"/>
      <c r="AQ69" s="267"/>
      <c r="AR69" s="267"/>
      <c r="AS69" s="267"/>
      <c r="AT69" s="267"/>
      <c r="AU69" s="267"/>
    </row>
    <row r="70" spans="1:47" ht="27" hidden="1" customHeight="1" x14ac:dyDescent="0.2">
      <c r="A70" s="38">
        <v>61</v>
      </c>
      <c r="B70" s="379"/>
      <c r="C70" s="495"/>
      <c r="D70" s="495"/>
      <c r="E70" s="505"/>
      <c r="F70" s="387"/>
      <c r="G70" s="133"/>
      <c r="H70" s="1120">
        <f t="shared" si="3"/>
        <v>0</v>
      </c>
      <c r="I70" s="389"/>
      <c r="J70" s="388"/>
      <c r="K70" s="446"/>
      <c r="L70" s="446"/>
      <c r="M70" s="373">
        <f>IF(F70="y",(((K70+L70)*Rates!$I$362))/12,((K70+L70)/12))</f>
        <v>0</v>
      </c>
      <c r="N70" s="485">
        <f t="shared" si="10"/>
        <v>0</v>
      </c>
      <c r="O70" s="254">
        <f t="shared" si="11"/>
        <v>0</v>
      </c>
      <c r="P70" s="355">
        <f t="shared" si="6"/>
        <v>0</v>
      </c>
      <c r="Q70" s="32">
        <f t="shared" si="7"/>
        <v>0</v>
      </c>
      <c r="R70" s="12"/>
      <c r="S70" s="391"/>
      <c r="T70" s="1120">
        <f t="shared" si="8"/>
        <v>0</v>
      </c>
      <c r="U70" s="389"/>
      <c r="V70" s="388"/>
      <c r="W70" s="446"/>
      <c r="X70" s="446"/>
      <c r="Y70" s="390"/>
      <c r="Z70" s="101">
        <f t="shared" si="0"/>
        <v>0</v>
      </c>
      <c r="AA70" s="373">
        <f>IF(F70="y",((((W70+X70+Y70+Z70)*T70)*Rates!$C$379))/12,(((W70+X70+Y70+Z70)*T70)/12))</f>
        <v>0</v>
      </c>
      <c r="AB70" s="254">
        <f t="shared" si="9"/>
        <v>0</v>
      </c>
      <c r="AC70" s="33">
        <f t="shared" si="12"/>
        <v>0</v>
      </c>
      <c r="AD70" s="427">
        <f t="shared" si="2"/>
        <v>0</v>
      </c>
      <c r="AE70" s="38">
        <v>61</v>
      </c>
      <c r="AF70" s="387"/>
      <c r="AG70" s="1070"/>
      <c r="AH70" s="387"/>
      <c r="AI70" s="1070"/>
      <c r="AJ70" s="387"/>
      <c r="AK70" s="1070"/>
      <c r="AL70" s="428"/>
      <c r="AM70" s="428"/>
      <c r="AN70" s="623"/>
      <c r="AO70" s="267"/>
      <c r="AP70" s="267"/>
      <c r="AQ70" s="267"/>
      <c r="AR70" s="267"/>
      <c r="AS70" s="267"/>
      <c r="AT70" s="267"/>
      <c r="AU70" s="267"/>
    </row>
    <row r="71" spans="1:47" ht="27" hidden="1" customHeight="1" x14ac:dyDescent="0.2">
      <c r="A71" s="38">
        <v>62</v>
      </c>
      <c r="B71" s="379"/>
      <c r="C71" s="495"/>
      <c r="D71" s="495"/>
      <c r="E71" s="505"/>
      <c r="F71" s="387"/>
      <c r="G71" s="133"/>
      <c r="H71" s="1120">
        <f t="shared" si="3"/>
        <v>0</v>
      </c>
      <c r="I71" s="389"/>
      <c r="J71" s="388"/>
      <c r="K71" s="446"/>
      <c r="L71" s="446"/>
      <c r="M71" s="373">
        <f>IF(F71="y",(((K71+L71)*Rates!$I$362))/12,((K71+L71)/12))</f>
        <v>0</v>
      </c>
      <c r="N71" s="485">
        <f t="shared" si="10"/>
        <v>0</v>
      </c>
      <c r="O71" s="254">
        <f t="shared" si="11"/>
        <v>0</v>
      </c>
      <c r="P71" s="355">
        <f t="shared" si="6"/>
        <v>0</v>
      </c>
      <c r="Q71" s="32">
        <f t="shared" si="7"/>
        <v>0</v>
      </c>
      <c r="R71" s="12"/>
      <c r="S71" s="391"/>
      <c r="T71" s="1120">
        <f t="shared" si="8"/>
        <v>0</v>
      </c>
      <c r="U71" s="389"/>
      <c r="V71" s="388"/>
      <c r="W71" s="446"/>
      <c r="X71" s="446"/>
      <c r="Y71" s="390"/>
      <c r="Z71" s="101">
        <f t="shared" si="0"/>
        <v>0</v>
      </c>
      <c r="AA71" s="373">
        <f>IF(F71="y",((((W71+X71+Y71+Z71)*T71)*Rates!$C$379))/12,(((W71+X71+Y71+Z71)*T71)/12))</f>
        <v>0</v>
      </c>
      <c r="AB71" s="254">
        <f t="shared" si="9"/>
        <v>0</v>
      </c>
      <c r="AC71" s="33">
        <f t="shared" si="12"/>
        <v>0</v>
      </c>
      <c r="AD71" s="427">
        <f t="shared" si="2"/>
        <v>0</v>
      </c>
      <c r="AE71" s="38">
        <v>62</v>
      </c>
      <c r="AF71" s="387"/>
      <c r="AG71" s="1070"/>
      <c r="AH71" s="387"/>
      <c r="AI71" s="1070"/>
      <c r="AJ71" s="387"/>
      <c r="AK71" s="1070"/>
      <c r="AL71" s="428"/>
      <c r="AM71" s="428"/>
      <c r="AN71" s="623"/>
      <c r="AO71" s="267"/>
      <c r="AP71" s="267"/>
      <c r="AQ71" s="267"/>
      <c r="AR71" s="267"/>
      <c r="AS71" s="267"/>
      <c r="AT71" s="267"/>
      <c r="AU71" s="267"/>
    </row>
    <row r="72" spans="1:47" ht="27" hidden="1" customHeight="1" x14ac:dyDescent="0.2">
      <c r="A72" s="38">
        <v>63</v>
      </c>
      <c r="B72" s="379"/>
      <c r="C72" s="495"/>
      <c r="D72" s="495"/>
      <c r="E72" s="505"/>
      <c r="F72" s="387"/>
      <c r="G72" s="133"/>
      <c r="H72" s="1120">
        <f t="shared" si="3"/>
        <v>0</v>
      </c>
      <c r="I72" s="389"/>
      <c r="J72" s="388"/>
      <c r="K72" s="446"/>
      <c r="L72" s="446"/>
      <c r="M72" s="373">
        <f>IF(F72="y",(((K72+L72)*Rates!$I$362))/12,((K72+L72)/12))</f>
        <v>0</v>
      </c>
      <c r="N72" s="485">
        <f t="shared" si="10"/>
        <v>0</v>
      </c>
      <c r="O72" s="254">
        <f t="shared" si="11"/>
        <v>0</v>
      </c>
      <c r="P72" s="355">
        <f t="shared" si="6"/>
        <v>0</v>
      </c>
      <c r="Q72" s="32">
        <f t="shared" si="7"/>
        <v>0</v>
      </c>
      <c r="R72" s="12"/>
      <c r="S72" s="391"/>
      <c r="T72" s="1120">
        <f t="shared" si="8"/>
        <v>0</v>
      </c>
      <c r="U72" s="389"/>
      <c r="V72" s="388"/>
      <c r="W72" s="446"/>
      <c r="X72" s="446"/>
      <c r="Y72" s="390"/>
      <c r="Z72" s="101">
        <f t="shared" si="0"/>
        <v>0</v>
      </c>
      <c r="AA72" s="373">
        <f>IF(F72="y",((((W72+X72+Y72+Z72)*T72)*Rates!$C$379))/12,(((W72+X72+Y72+Z72)*T72)/12))</f>
        <v>0</v>
      </c>
      <c r="AB72" s="254">
        <f t="shared" si="9"/>
        <v>0</v>
      </c>
      <c r="AC72" s="33">
        <f t="shared" si="12"/>
        <v>0</v>
      </c>
      <c r="AD72" s="427">
        <f t="shared" si="2"/>
        <v>0</v>
      </c>
      <c r="AE72" s="38">
        <v>63</v>
      </c>
      <c r="AF72" s="387"/>
      <c r="AG72" s="1070"/>
      <c r="AH72" s="387"/>
      <c r="AI72" s="1070"/>
      <c r="AJ72" s="387"/>
      <c r="AK72" s="1070"/>
      <c r="AL72" s="428"/>
      <c r="AM72" s="428"/>
      <c r="AN72" s="623"/>
      <c r="AO72" s="267"/>
      <c r="AP72" s="267"/>
      <c r="AQ72" s="267"/>
      <c r="AR72" s="267"/>
      <c r="AS72" s="267"/>
      <c r="AT72" s="267"/>
      <c r="AU72" s="267"/>
    </row>
    <row r="73" spans="1:47" ht="27" hidden="1" customHeight="1" x14ac:dyDescent="0.2">
      <c r="A73" s="38">
        <v>64</v>
      </c>
      <c r="B73" s="379"/>
      <c r="C73" s="495"/>
      <c r="D73" s="495"/>
      <c r="E73" s="505"/>
      <c r="F73" s="387"/>
      <c r="G73" s="133"/>
      <c r="H73" s="1120">
        <f t="shared" si="3"/>
        <v>0</v>
      </c>
      <c r="I73" s="389"/>
      <c r="J73" s="388"/>
      <c r="K73" s="446"/>
      <c r="L73" s="446"/>
      <c r="M73" s="373">
        <f>IF(F73="y",(((K73+L73)*Rates!$I$362))/12,((K73+L73)/12))</f>
        <v>0</v>
      </c>
      <c r="N73" s="485">
        <f t="shared" si="10"/>
        <v>0</v>
      </c>
      <c r="O73" s="254">
        <f t="shared" si="11"/>
        <v>0</v>
      </c>
      <c r="P73" s="355">
        <f t="shared" si="6"/>
        <v>0</v>
      </c>
      <c r="Q73" s="32">
        <f t="shared" si="7"/>
        <v>0</v>
      </c>
      <c r="R73" s="12"/>
      <c r="S73" s="391"/>
      <c r="T73" s="1120">
        <f t="shared" si="8"/>
        <v>0</v>
      </c>
      <c r="U73" s="389"/>
      <c r="V73" s="388"/>
      <c r="W73" s="446"/>
      <c r="X73" s="446"/>
      <c r="Y73" s="390"/>
      <c r="Z73" s="101">
        <f t="shared" si="0"/>
        <v>0</v>
      </c>
      <c r="AA73" s="373">
        <f>IF(F73="y",((((W73+X73+Y73+Z73)*T73)*Rates!$C$379))/12,(((W73+X73+Y73+Z73)*T73)/12))</f>
        <v>0</v>
      </c>
      <c r="AB73" s="254">
        <f t="shared" si="9"/>
        <v>0</v>
      </c>
      <c r="AC73" s="33">
        <f t="shared" si="12"/>
        <v>0</v>
      </c>
      <c r="AD73" s="427">
        <f t="shared" si="2"/>
        <v>0</v>
      </c>
      <c r="AE73" s="38">
        <v>64</v>
      </c>
      <c r="AF73" s="387"/>
      <c r="AG73" s="1070"/>
      <c r="AH73" s="387"/>
      <c r="AI73" s="1070"/>
      <c r="AJ73" s="387"/>
      <c r="AK73" s="1070"/>
      <c r="AL73" s="428"/>
      <c r="AM73" s="428"/>
      <c r="AN73" s="623"/>
      <c r="AO73" s="267"/>
      <c r="AP73" s="267"/>
      <c r="AQ73" s="267"/>
      <c r="AR73" s="267"/>
      <c r="AS73" s="267"/>
      <c r="AT73" s="267"/>
      <c r="AU73" s="267"/>
    </row>
    <row r="74" spans="1:47" ht="27" hidden="1" customHeight="1" x14ac:dyDescent="0.2">
      <c r="A74" s="38">
        <v>65</v>
      </c>
      <c r="B74" s="379"/>
      <c r="C74" s="495"/>
      <c r="D74" s="495"/>
      <c r="E74" s="505"/>
      <c r="F74" s="387"/>
      <c r="G74" s="133"/>
      <c r="H74" s="1120">
        <f t="shared" si="3"/>
        <v>0</v>
      </c>
      <c r="I74" s="389"/>
      <c r="J74" s="388"/>
      <c r="K74" s="446"/>
      <c r="L74" s="446"/>
      <c r="M74" s="373">
        <f>IF(F74="y",(((K74+L74)*Rates!$I$362))/12,((K74+L74)/12))</f>
        <v>0</v>
      </c>
      <c r="N74" s="485">
        <f t="shared" ref="N74:N105" si="13">M74*J74*H74</f>
        <v>0</v>
      </c>
      <c r="O74" s="254">
        <f t="shared" ref="O74:O109" si="14">M74*J74*H74</f>
        <v>0</v>
      </c>
      <c r="P74" s="355">
        <f t="shared" si="6"/>
        <v>0</v>
      </c>
      <c r="Q74" s="32">
        <f t="shared" si="7"/>
        <v>0</v>
      </c>
      <c r="R74" s="12"/>
      <c r="S74" s="391"/>
      <c r="T74" s="1120">
        <f t="shared" si="8"/>
        <v>0</v>
      </c>
      <c r="U74" s="389"/>
      <c r="V74" s="388"/>
      <c r="W74" s="446"/>
      <c r="X74" s="446"/>
      <c r="Y74" s="390"/>
      <c r="Z74" s="101">
        <f t="shared" ref="Z74:Z94" si="15">IF(S74="y",0,((W74+Y74)*$Z$9))</f>
        <v>0</v>
      </c>
      <c r="AA74" s="373">
        <f>IF(F74="y",((((W74+X74+Y74+Z74)*T74)*Rates!$C$379))/12,(((W74+X74+Y74+Z74)*T74)/12))</f>
        <v>0</v>
      </c>
      <c r="AB74" s="254">
        <f t="shared" ref="AB74:AB94" si="16">AA74*V74</f>
        <v>0</v>
      </c>
      <c r="AC74" s="33">
        <f>$AC$9*AB74</f>
        <v>0</v>
      </c>
      <c r="AD74" s="427">
        <f t="shared" ref="AD74:AD109" si="17">SUM(AC74:AC74)</f>
        <v>0</v>
      </c>
      <c r="AE74" s="38">
        <v>65</v>
      </c>
      <c r="AF74" s="387"/>
      <c r="AG74" s="1070"/>
      <c r="AH74" s="387"/>
      <c r="AI74" s="1070"/>
      <c r="AJ74" s="387"/>
      <c r="AK74" s="1070"/>
      <c r="AL74" s="428"/>
      <c r="AM74" s="428"/>
      <c r="AN74" s="623"/>
      <c r="AO74" s="267"/>
      <c r="AP74" s="267"/>
      <c r="AQ74" s="267"/>
      <c r="AR74" s="267"/>
      <c r="AS74" s="267"/>
      <c r="AT74" s="267"/>
      <c r="AU74" s="267"/>
    </row>
    <row r="75" spans="1:47" ht="27" hidden="1" customHeight="1" x14ac:dyDescent="0.2">
      <c r="A75" s="38">
        <v>66</v>
      </c>
      <c r="B75" s="379"/>
      <c r="C75" s="495"/>
      <c r="D75" s="495"/>
      <c r="E75" s="505"/>
      <c r="F75" s="387"/>
      <c r="G75" s="133"/>
      <c r="H75" s="1120">
        <f t="shared" ref="H75:H109" si="18">ROUND(I75,2)</f>
        <v>0</v>
      </c>
      <c r="I75" s="389"/>
      <c r="J75" s="388"/>
      <c r="K75" s="446"/>
      <c r="L75" s="446"/>
      <c r="M75" s="373">
        <f>IF(F75="y",(((K75+L75)*Rates!$I$362))/12,((K75+L75)/12))</f>
        <v>0</v>
      </c>
      <c r="N75" s="485">
        <f t="shared" si="13"/>
        <v>0</v>
      </c>
      <c r="O75" s="254">
        <f t="shared" si="14"/>
        <v>0</v>
      </c>
      <c r="P75" s="355">
        <f t="shared" ref="P75:P109" si="19">O75*$P$9</f>
        <v>0</v>
      </c>
      <c r="Q75" s="32">
        <f t="shared" ref="Q75:Q109" si="20">SUM(P75)</f>
        <v>0</v>
      </c>
      <c r="R75" s="12"/>
      <c r="S75" s="391"/>
      <c r="T75" s="1120">
        <f t="shared" ref="T75:T109" si="21">ROUND(U75,2)</f>
        <v>0</v>
      </c>
      <c r="U75" s="389"/>
      <c r="V75" s="388"/>
      <c r="W75" s="446"/>
      <c r="X75" s="446"/>
      <c r="Y75" s="390"/>
      <c r="Z75" s="101">
        <f t="shared" si="15"/>
        <v>0</v>
      </c>
      <c r="AA75" s="373">
        <f>IF(F75="y",((((W75+X75+Y75+Z75)*T75)*Rates!$C$379))/12,(((W75+X75+Y75+Z75)*T75)/12))</f>
        <v>0</v>
      </c>
      <c r="AB75" s="254">
        <f t="shared" si="16"/>
        <v>0</v>
      </c>
      <c r="AC75" s="33">
        <f t="shared" ref="AC75:AC109" si="22">$AC$9*AB75</f>
        <v>0</v>
      </c>
      <c r="AD75" s="427">
        <f t="shared" si="17"/>
        <v>0</v>
      </c>
      <c r="AE75" s="38">
        <v>66</v>
      </c>
      <c r="AF75" s="387"/>
      <c r="AG75" s="1070"/>
      <c r="AH75" s="387"/>
      <c r="AI75" s="1070"/>
      <c r="AJ75" s="387"/>
      <c r="AK75" s="1070"/>
      <c r="AL75" s="428"/>
      <c r="AM75" s="428"/>
      <c r="AN75" s="623"/>
      <c r="AO75" s="267"/>
      <c r="AP75" s="267"/>
      <c r="AQ75" s="267"/>
      <c r="AR75" s="267"/>
      <c r="AS75" s="267"/>
      <c r="AT75" s="267"/>
      <c r="AU75" s="267"/>
    </row>
    <row r="76" spans="1:47" ht="27" hidden="1" customHeight="1" x14ac:dyDescent="0.2">
      <c r="A76" s="38">
        <v>67</v>
      </c>
      <c r="B76" s="379"/>
      <c r="C76" s="495"/>
      <c r="D76" s="495"/>
      <c r="E76" s="505"/>
      <c r="F76" s="387"/>
      <c r="G76" s="133"/>
      <c r="H76" s="1120">
        <f t="shared" si="18"/>
        <v>0</v>
      </c>
      <c r="I76" s="389"/>
      <c r="J76" s="388"/>
      <c r="K76" s="446"/>
      <c r="L76" s="446"/>
      <c r="M76" s="373">
        <f>IF(F76="y",(((K76+L76)*Rates!$I$362))/12,((K76+L76)/12))</f>
        <v>0</v>
      </c>
      <c r="N76" s="485">
        <f t="shared" si="13"/>
        <v>0</v>
      </c>
      <c r="O76" s="254">
        <f t="shared" si="14"/>
        <v>0</v>
      </c>
      <c r="P76" s="355">
        <f t="shared" si="19"/>
        <v>0</v>
      </c>
      <c r="Q76" s="32">
        <f t="shared" si="20"/>
        <v>0</v>
      </c>
      <c r="R76" s="12"/>
      <c r="S76" s="391"/>
      <c r="T76" s="1120">
        <f t="shared" si="21"/>
        <v>0</v>
      </c>
      <c r="U76" s="389"/>
      <c r="V76" s="388"/>
      <c r="W76" s="446"/>
      <c r="X76" s="446"/>
      <c r="Y76" s="390"/>
      <c r="Z76" s="101">
        <f t="shared" si="15"/>
        <v>0</v>
      </c>
      <c r="AA76" s="373">
        <f>IF(F76="y",((((W76+X76+Y76+Z76)*T76)*Rates!$C$379))/12,(((W76+X76+Y76+Z76)*T76)/12))</f>
        <v>0</v>
      </c>
      <c r="AB76" s="254">
        <f t="shared" si="16"/>
        <v>0</v>
      </c>
      <c r="AC76" s="33">
        <f t="shared" si="22"/>
        <v>0</v>
      </c>
      <c r="AD76" s="427">
        <f t="shared" si="17"/>
        <v>0</v>
      </c>
      <c r="AE76" s="38">
        <v>67</v>
      </c>
      <c r="AF76" s="387"/>
      <c r="AG76" s="1070"/>
      <c r="AH76" s="387"/>
      <c r="AI76" s="1070"/>
      <c r="AJ76" s="387"/>
      <c r="AK76" s="1070"/>
      <c r="AL76" s="428"/>
      <c r="AM76" s="428"/>
      <c r="AN76" s="623"/>
      <c r="AO76" s="267"/>
      <c r="AP76" s="267"/>
      <c r="AQ76" s="267"/>
      <c r="AR76" s="267"/>
      <c r="AS76" s="267"/>
      <c r="AT76" s="267"/>
      <c r="AU76" s="267"/>
    </row>
    <row r="77" spans="1:47" ht="27" hidden="1" customHeight="1" x14ac:dyDescent="0.2">
      <c r="A77" s="38">
        <v>68</v>
      </c>
      <c r="B77" s="379"/>
      <c r="C77" s="495"/>
      <c r="D77" s="495"/>
      <c r="E77" s="505"/>
      <c r="F77" s="387"/>
      <c r="G77" s="133"/>
      <c r="H77" s="1120">
        <f t="shared" si="18"/>
        <v>0</v>
      </c>
      <c r="I77" s="389"/>
      <c r="J77" s="388"/>
      <c r="K77" s="446"/>
      <c r="L77" s="446"/>
      <c r="M77" s="373">
        <f>IF(F77="y",(((K77+L77)*Rates!$I$362))/12,((K77+L77)/12))</f>
        <v>0</v>
      </c>
      <c r="N77" s="485">
        <f t="shared" si="13"/>
        <v>0</v>
      </c>
      <c r="O77" s="254">
        <f t="shared" si="14"/>
        <v>0</v>
      </c>
      <c r="P77" s="355">
        <f t="shared" si="19"/>
        <v>0</v>
      </c>
      <c r="Q77" s="32">
        <f t="shared" si="20"/>
        <v>0</v>
      </c>
      <c r="R77" s="12"/>
      <c r="S77" s="391"/>
      <c r="T77" s="1120">
        <f t="shared" si="21"/>
        <v>0</v>
      </c>
      <c r="U77" s="389"/>
      <c r="V77" s="388"/>
      <c r="W77" s="446"/>
      <c r="X77" s="446"/>
      <c r="Y77" s="390"/>
      <c r="Z77" s="101">
        <f t="shared" si="15"/>
        <v>0</v>
      </c>
      <c r="AA77" s="373">
        <f>IF(F77="y",((((W77+X77+Y77+Z77)*T77)*Rates!$C$379))/12,(((W77+X77+Y77+Z77)*T77)/12))</f>
        <v>0</v>
      </c>
      <c r="AB77" s="254">
        <f t="shared" si="16"/>
        <v>0</v>
      </c>
      <c r="AC77" s="33">
        <f t="shared" si="22"/>
        <v>0</v>
      </c>
      <c r="AD77" s="427">
        <f t="shared" si="17"/>
        <v>0</v>
      </c>
      <c r="AE77" s="38">
        <v>68</v>
      </c>
      <c r="AF77" s="387"/>
      <c r="AG77" s="1070"/>
      <c r="AH77" s="387"/>
      <c r="AI77" s="1070"/>
      <c r="AJ77" s="387"/>
      <c r="AK77" s="1070"/>
      <c r="AL77" s="428"/>
      <c r="AM77" s="428"/>
      <c r="AN77" s="623"/>
      <c r="AO77" s="267"/>
      <c r="AP77" s="267"/>
      <c r="AQ77" s="267"/>
      <c r="AR77" s="267"/>
      <c r="AS77" s="267"/>
      <c r="AT77" s="267"/>
      <c r="AU77" s="267"/>
    </row>
    <row r="78" spans="1:47" ht="27" hidden="1" customHeight="1" x14ac:dyDescent="0.2">
      <c r="A78" s="38">
        <v>69</v>
      </c>
      <c r="B78" s="379"/>
      <c r="C78" s="495"/>
      <c r="D78" s="495"/>
      <c r="E78" s="505"/>
      <c r="F78" s="387"/>
      <c r="G78" s="133"/>
      <c r="H78" s="1120">
        <f t="shared" si="18"/>
        <v>0</v>
      </c>
      <c r="I78" s="389"/>
      <c r="J78" s="388"/>
      <c r="K78" s="446"/>
      <c r="L78" s="446"/>
      <c r="M78" s="373">
        <f>IF(F78="y",(((K78+L78)*Rates!$I$362))/12,((K78+L78)/12))</f>
        <v>0</v>
      </c>
      <c r="N78" s="485">
        <f t="shared" si="13"/>
        <v>0</v>
      </c>
      <c r="O78" s="254">
        <f t="shared" si="14"/>
        <v>0</v>
      </c>
      <c r="P78" s="355">
        <f t="shared" si="19"/>
        <v>0</v>
      </c>
      <c r="Q78" s="32">
        <f t="shared" si="20"/>
        <v>0</v>
      </c>
      <c r="R78" s="12"/>
      <c r="S78" s="391"/>
      <c r="T78" s="1120">
        <f t="shared" si="21"/>
        <v>0</v>
      </c>
      <c r="U78" s="389"/>
      <c r="V78" s="388"/>
      <c r="W78" s="446"/>
      <c r="X78" s="446"/>
      <c r="Y78" s="390"/>
      <c r="Z78" s="101">
        <f t="shared" si="15"/>
        <v>0</v>
      </c>
      <c r="AA78" s="373">
        <f>IF(F78="y",((((W78+X78+Y78+Z78)*T78)*Rates!$C$379))/12,(((W78+X78+Y78+Z78)*T78)/12))</f>
        <v>0</v>
      </c>
      <c r="AB78" s="254">
        <f t="shared" si="16"/>
        <v>0</v>
      </c>
      <c r="AC78" s="33">
        <f t="shared" si="22"/>
        <v>0</v>
      </c>
      <c r="AD78" s="427">
        <f t="shared" si="17"/>
        <v>0</v>
      </c>
      <c r="AE78" s="38">
        <v>69</v>
      </c>
      <c r="AF78" s="387"/>
      <c r="AG78" s="1070"/>
      <c r="AH78" s="387"/>
      <c r="AI78" s="1070"/>
      <c r="AJ78" s="387"/>
      <c r="AK78" s="1070"/>
      <c r="AL78" s="428"/>
      <c r="AM78" s="428"/>
      <c r="AN78" s="623"/>
      <c r="AO78" s="267"/>
      <c r="AP78" s="267"/>
      <c r="AQ78" s="267"/>
      <c r="AR78" s="267"/>
      <c r="AS78" s="267"/>
      <c r="AT78" s="267"/>
      <c r="AU78" s="267"/>
    </row>
    <row r="79" spans="1:47" ht="27" hidden="1" customHeight="1" x14ac:dyDescent="0.2">
      <c r="A79" s="38">
        <v>70</v>
      </c>
      <c r="B79" s="379"/>
      <c r="C79" s="495"/>
      <c r="D79" s="495"/>
      <c r="E79" s="505"/>
      <c r="F79" s="387"/>
      <c r="G79" s="133"/>
      <c r="H79" s="1120">
        <f t="shared" si="18"/>
        <v>0</v>
      </c>
      <c r="I79" s="389"/>
      <c r="J79" s="388"/>
      <c r="K79" s="446"/>
      <c r="L79" s="446"/>
      <c r="M79" s="373">
        <f>IF(F79="y",(((K79+L79)*Rates!$I$362))/12,((K79+L79)/12))</f>
        <v>0</v>
      </c>
      <c r="N79" s="485">
        <f t="shared" si="13"/>
        <v>0</v>
      </c>
      <c r="O79" s="254">
        <f t="shared" si="14"/>
        <v>0</v>
      </c>
      <c r="P79" s="355">
        <f t="shared" si="19"/>
        <v>0</v>
      </c>
      <c r="Q79" s="32">
        <f t="shared" si="20"/>
        <v>0</v>
      </c>
      <c r="R79" s="12"/>
      <c r="S79" s="391"/>
      <c r="T79" s="1120">
        <f t="shared" si="21"/>
        <v>0</v>
      </c>
      <c r="U79" s="389"/>
      <c r="V79" s="388"/>
      <c r="W79" s="446"/>
      <c r="X79" s="446"/>
      <c r="Y79" s="390"/>
      <c r="Z79" s="101">
        <f t="shared" si="15"/>
        <v>0</v>
      </c>
      <c r="AA79" s="373">
        <f>IF(F79="y",((((W79+X79+Y79+Z79)*T79)*Rates!$C$379))/12,(((W79+X79+Y79+Z79)*T79)/12))</f>
        <v>0</v>
      </c>
      <c r="AB79" s="254">
        <f t="shared" si="16"/>
        <v>0</v>
      </c>
      <c r="AC79" s="33">
        <f t="shared" si="22"/>
        <v>0</v>
      </c>
      <c r="AD79" s="427">
        <f t="shared" si="17"/>
        <v>0</v>
      </c>
      <c r="AE79" s="38">
        <v>70</v>
      </c>
      <c r="AF79" s="387"/>
      <c r="AG79" s="1070"/>
      <c r="AH79" s="387"/>
      <c r="AI79" s="1070"/>
      <c r="AJ79" s="387"/>
      <c r="AK79" s="1070"/>
      <c r="AL79" s="428"/>
      <c r="AM79" s="428"/>
      <c r="AN79" s="623"/>
      <c r="AO79" s="267"/>
      <c r="AP79" s="267"/>
      <c r="AQ79" s="267"/>
      <c r="AR79" s="267"/>
      <c r="AS79" s="267"/>
      <c r="AT79" s="267"/>
      <c r="AU79" s="267"/>
    </row>
    <row r="80" spans="1:47" ht="27" hidden="1" customHeight="1" x14ac:dyDescent="0.2">
      <c r="A80" s="38">
        <v>71</v>
      </c>
      <c r="B80" s="379"/>
      <c r="C80" s="495"/>
      <c r="D80" s="495"/>
      <c r="E80" s="505"/>
      <c r="F80" s="387"/>
      <c r="G80" s="133"/>
      <c r="H80" s="1120">
        <f t="shared" si="18"/>
        <v>0</v>
      </c>
      <c r="I80" s="389"/>
      <c r="J80" s="388"/>
      <c r="K80" s="446"/>
      <c r="L80" s="446"/>
      <c r="M80" s="373">
        <f>IF(F80="y",(((K80+L80)*Rates!$I$362))/12,((K80+L80)/12))</f>
        <v>0</v>
      </c>
      <c r="N80" s="485">
        <f t="shared" si="13"/>
        <v>0</v>
      </c>
      <c r="O80" s="254">
        <f t="shared" si="14"/>
        <v>0</v>
      </c>
      <c r="P80" s="355">
        <f t="shared" si="19"/>
        <v>0</v>
      </c>
      <c r="Q80" s="32">
        <f t="shared" si="20"/>
        <v>0</v>
      </c>
      <c r="R80" s="12"/>
      <c r="S80" s="391"/>
      <c r="T80" s="1120">
        <f t="shared" si="21"/>
        <v>0</v>
      </c>
      <c r="U80" s="389"/>
      <c r="V80" s="388"/>
      <c r="W80" s="446"/>
      <c r="X80" s="446"/>
      <c r="Y80" s="390"/>
      <c r="Z80" s="101">
        <f t="shared" si="15"/>
        <v>0</v>
      </c>
      <c r="AA80" s="373">
        <f>IF(F80="y",((((W80+X80+Y80+Z80)*T80)*Rates!$C$379))/12,(((W80+X80+Y80+Z80)*T80)/12))</f>
        <v>0</v>
      </c>
      <c r="AB80" s="254">
        <f t="shared" si="16"/>
        <v>0</v>
      </c>
      <c r="AC80" s="33">
        <f t="shared" si="22"/>
        <v>0</v>
      </c>
      <c r="AD80" s="427">
        <f t="shared" si="17"/>
        <v>0</v>
      </c>
      <c r="AE80" s="38">
        <v>71</v>
      </c>
      <c r="AF80" s="387"/>
      <c r="AG80" s="1070"/>
      <c r="AH80" s="387"/>
      <c r="AI80" s="1070"/>
      <c r="AJ80" s="387"/>
      <c r="AK80" s="1070"/>
      <c r="AL80" s="428"/>
      <c r="AM80" s="428"/>
      <c r="AN80" s="623"/>
      <c r="AO80" s="267"/>
      <c r="AP80" s="267"/>
      <c r="AQ80" s="267"/>
      <c r="AR80" s="267"/>
      <c r="AS80" s="267"/>
      <c r="AT80" s="267"/>
      <c r="AU80" s="267"/>
    </row>
    <row r="81" spans="1:47" ht="27" hidden="1" customHeight="1" x14ac:dyDescent="0.2">
      <c r="A81" s="38">
        <v>72</v>
      </c>
      <c r="B81" s="379"/>
      <c r="C81" s="495"/>
      <c r="D81" s="495"/>
      <c r="E81" s="505"/>
      <c r="F81" s="387"/>
      <c r="G81" s="133"/>
      <c r="H81" s="1120">
        <f t="shared" si="18"/>
        <v>0</v>
      </c>
      <c r="I81" s="389"/>
      <c r="J81" s="388"/>
      <c r="K81" s="446"/>
      <c r="L81" s="446"/>
      <c r="M81" s="373">
        <f>IF(F81="y",(((K81+L81)*Rates!$I$362))/12,((K81+L81)/12))</f>
        <v>0</v>
      </c>
      <c r="N81" s="485">
        <f t="shared" si="13"/>
        <v>0</v>
      </c>
      <c r="O81" s="254">
        <f t="shared" si="14"/>
        <v>0</v>
      </c>
      <c r="P81" s="355">
        <f t="shared" si="19"/>
        <v>0</v>
      </c>
      <c r="Q81" s="32">
        <f t="shared" si="20"/>
        <v>0</v>
      </c>
      <c r="R81" s="12"/>
      <c r="S81" s="391"/>
      <c r="T81" s="1120">
        <f t="shared" si="21"/>
        <v>0</v>
      </c>
      <c r="U81" s="389"/>
      <c r="V81" s="388"/>
      <c r="W81" s="446"/>
      <c r="X81" s="446"/>
      <c r="Y81" s="390"/>
      <c r="Z81" s="101">
        <f t="shared" si="15"/>
        <v>0</v>
      </c>
      <c r="AA81" s="373">
        <f>IF(F81="y",((((W81+X81+Y81+Z81)*T81)*Rates!$C$379))/12,(((W81+X81+Y81+Z81)*T81)/12))</f>
        <v>0</v>
      </c>
      <c r="AB81" s="254">
        <f t="shared" si="16"/>
        <v>0</v>
      </c>
      <c r="AC81" s="33">
        <f t="shared" si="22"/>
        <v>0</v>
      </c>
      <c r="AD81" s="427">
        <f t="shared" si="17"/>
        <v>0</v>
      </c>
      <c r="AE81" s="38">
        <v>72</v>
      </c>
      <c r="AF81" s="387"/>
      <c r="AG81" s="1070"/>
      <c r="AH81" s="387"/>
      <c r="AI81" s="1070"/>
      <c r="AJ81" s="387"/>
      <c r="AK81" s="1070"/>
      <c r="AL81" s="428"/>
      <c r="AM81" s="428"/>
      <c r="AN81" s="623"/>
      <c r="AO81" s="267"/>
      <c r="AP81" s="267"/>
      <c r="AQ81" s="267"/>
      <c r="AR81" s="267"/>
      <c r="AS81" s="267"/>
      <c r="AT81" s="267"/>
      <c r="AU81" s="267"/>
    </row>
    <row r="82" spans="1:47" ht="27" hidden="1" customHeight="1" x14ac:dyDescent="0.2">
      <c r="A82" s="38">
        <v>73</v>
      </c>
      <c r="B82" s="379"/>
      <c r="C82" s="495"/>
      <c r="D82" s="495"/>
      <c r="E82" s="505"/>
      <c r="F82" s="387"/>
      <c r="G82" s="133"/>
      <c r="H82" s="1120">
        <f t="shared" si="18"/>
        <v>0</v>
      </c>
      <c r="I82" s="389"/>
      <c r="J82" s="388"/>
      <c r="K82" s="446"/>
      <c r="L82" s="446"/>
      <c r="M82" s="373">
        <f>IF(F82="y",(((K82+L82)*Rates!$I$362))/12,((K82+L82)/12))</f>
        <v>0</v>
      </c>
      <c r="N82" s="485">
        <f t="shared" si="13"/>
        <v>0</v>
      </c>
      <c r="O82" s="254">
        <f t="shared" si="14"/>
        <v>0</v>
      </c>
      <c r="P82" s="355">
        <f t="shared" si="19"/>
        <v>0</v>
      </c>
      <c r="Q82" s="32">
        <f t="shared" si="20"/>
        <v>0</v>
      </c>
      <c r="R82" s="12"/>
      <c r="S82" s="391"/>
      <c r="T82" s="1120">
        <f t="shared" si="21"/>
        <v>0</v>
      </c>
      <c r="U82" s="389"/>
      <c r="V82" s="388"/>
      <c r="W82" s="446"/>
      <c r="X82" s="446"/>
      <c r="Y82" s="390"/>
      <c r="Z82" s="101">
        <f t="shared" si="15"/>
        <v>0</v>
      </c>
      <c r="AA82" s="373">
        <f>IF(F82="y",((((W82+X82+Y82+Z82)*T82)*Rates!$C$379))/12,(((W82+X82+Y82+Z82)*T82)/12))</f>
        <v>0</v>
      </c>
      <c r="AB82" s="254">
        <f t="shared" si="16"/>
        <v>0</v>
      </c>
      <c r="AC82" s="33">
        <f t="shared" si="22"/>
        <v>0</v>
      </c>
      <c r="AD82" s="427">
        <f t="shared" si="17"/>
        <v>0</v>
      </c>
      <c r="AE82" s="38">
        <v>73</v>
      </c>
      <c r="AF82" s="387"/>
      <c r="AG82" s="1070"/>
      <c r="AH82" s="387"/>
      <c r="AI82" s="1070"/>
      <c r="AJ82" s="387"/>
      <c r="AK82" s="1070"/>
      <c r="AL82" s="428"/>
      <c r="AM82" s="428"/>
      <c r="AN82" s="623"/>
      <c r="AO82" s="267"/>
      <c r="AP82" s="267"/>
      <c r="AQ82" s="267"/>
      <c r="AR82" s="267"/>
      <c r="AS82" s="267"/>
      <c r="AT82" s="267"/>
      <c r="AU82" s="267"/>
    </row>
    <row r="83" spans="1:47" ht="27" hidden="1" customHeight="1" x14ac:dyDescent="0.2">
      <c r="A83" s="38">
        <v>74</v>
      </c>
      <c r="B83" s="379"/>
      <c r="C83" s="495"/>
      <c r="D83" s="495"/>
      <c r="E83" s="505"/>
      <c r="F83" s="387"/>
      <c r="G83" s="133"/>
      <c r="H83" s="1120">
        <f t="shared" si="18"/>
        <v>0</v>
      </c>
      <c r="I83" s="389"/>
      <c r="J83" s="388"/>
      <c r="K83" s="446"/>
      <c r="L83" s="446"/>
      <c r="M83" s="373">
        <f>IF(F83="y",(((K83+L83)*Rates!$I$362))/12,((K83+L83)/12))</f>
        <v>0</v>
      </c>
      <c r="N83" s="485">
        <f t="shared" si="13"/>
        <v>0</v>
      </c>
      <c r="O83" s="254">
        <f t="shared" si="14"/>
        <v>0</v>
      </c>
      <c r="P83" s="355">
        <f t="shared" si="19"/>
        <v>0</v>
      </c>
      <c r="Q83" s="32">
        <f t="shared" si="20"/>
        <v>0</v>
      </c>
      <c r="R83" s="12"/>
      <c r="S83" s="391"/>
      <c r="T83" s="1120">
        <f t="shared" si="21"/>
        <v>0</v>
      </c>
      <c r="U83" s="389"/>
      <c r="V83" s="388"/>
      <c r="W83" s="446"/>
      <c r="X83" s="446"/>
      <c r="Y83" s="390"/>
      <c r="Z83" s="101">
        <f t="shared" si="15"/>
        <v>0</v>
      </c>
      <c r="AA83" s="373">
        <f>IF(F83="y",((((W83+X83+Y83+Z83)*T83)*Rates!$C$379))/12,(((W83+X83+Y83+Z83)*T83)/12))</f>
        <v>0</v>
      </c>
      <c r="AB83" s="254">
        <f t="shared" si="16"/>
        <v>0</v>
      </c>
      <c r="AC83" s="33">
        <f t="shared" si="22"/>
        <v>0</v>
      </c>
      <c r="AD83" s="427">
        <f t="shared" si="17"/>
        <v>0</v>
      </c>
      <c r="AE83" s="38">
        <v>74</v>
      </c>
      <c r="AF83" s="387"/>
      <c r="AG83" s="1070"/>
      <c r="AH83" s="387"/>
      <c r="AI83" s="1070"/>
      <c r="AJ83" s="387"/>
      <c r="AK83" s="1070"/>
      <c r="AL83" s="428"/>
      <c r="AM83" s="428"/>
      <c r="AN83" s="623"/>
      <c r="AO83" s="267"/>
      <c r="AP83" s="267"/>
      <c r="AQ83" s="267"/>
      <c r="AR83" s="267"/>
      <c r="AS83" s="267"/>
      <c r="AT83" s="267"/>
      <c r="AU83" s="267"/>
    </row>
    <row r="84" spans="1:47" ht="27" hidden="1" customHeight="1" x14ac:dyDescent="0.2">
      <c r="A84" s="38">
        <v>75</v>
      </c>
      <c r="B84" s="379"/>
      <c r="C84" s="495"/>
      <c r="D84" s="495"/>
      <c r="E84" s="505"/>
      <c r="F84" s="387"/>
      <c r="G84" s="133"/>
      <c r="H84" s="1120">
        <f t="shared" si="18"/>
        <v>0</v>
      </c>
      <c r="I84" s="389"/>
      <c r="J84" s="388"/>
      <c r="K84" s="446"/>
      <c r="L84" s="446"/>
      <c r="M84" s="373">
        <f>IF(F84="y",(((K84+L84)*Rates!$I$362))/12,((K84+L84)/12))</f>
        <v>0</v>
      </c>
      <c r="N84" s="485">
        <f t="shared" si="13"/>
        <v>0</v>
      </c>
      <c r="O84" s="254">
        <f t="shared" si="14"/>
        <v>0</v>
      </c>
      <c r="P84" s="355">
        <f t="shared" si="19"/>
        <v>0</v>
      </c>
      <c r="Q84" s="32">
        <f t="shared" si="20"/>
        <v>0</v>
      </c>
      <c r="R84" s="12"/>
      <c r="S84" s="391"/>
      <c r="T84" s="1120">
        <f t="shared" si="21"/>
        <v>0</v>
      </c>
      <c r="U84" s="389"/>
      <c r="V84" s="388"/>
      <c r="W84" s="446"/>
      <c r="X84" s="446"/>
      <c r="Y84" s="390"/>
      <c r="Z84" s="101">
        <f t="shared" si="15"/>
        <v>0</v>
      </c>
      <c r="AA84" s="373">
        <f>IF(F84="y",((((W84+X84+Y84+Z84)*T84)*Rates!$C$379))/12,(((W84+X84+Y84+Z84)*T84)/12))</f>
        <v>0</v>
      </c>
      <c r="AB84" s="254">
        <f t="shared" si="16"/>
        <v>0</v>
      </c>
      <c r="AC84" s="33">
        <f t="shared" si="22"/>
        <v>0</v>
      </c>
      <c r="AD84" s="427">
        <f t="shared" si="17"/>
        <v>0</v>
      </c>
      <c r="AE84" s="38">
        <v>75</v>
      </c>
      <c r="AF84" s="387"/>
      <c r="AG84" s="1070"/>
      <c r="AH84" s="387"/>
      <c r="AI84" s="1070"/>
      <c r="AJ84" s="387"/>
      <c r="AK84" s="1070"/>
      <c r="AL84" s="428"/>
      <c r="AM84" s="428"/>
      <c r="AN84" s="623"/>
      <c r="AO84" s="267"/>
      <c r="AP84" s="267"/>
      <c r="AQ84" s="267"/>
      <c r="AR84" s="267"/>
      <c r="AS84" s="267"/>
      <c r="AT84" s="267"/>
      <c r="AU84" s="267"/>
    </row>
    <row r="85" spans="1:47" ht="27" hidden="1" customHeight="1" x14ac:dyDescent="0.2">
      <c r="A85" s="38">
        <v>76</v>
      </c>
      <c r="B85" s="379"/>
      <c r="C85" s="495"/>
      <c r="D85" s="495"/>
      <c r="E85" s="505"/>
      <c r="F85" s="387"/>
      <c r="G85" s="133"/>
      <c r="H85" s="1120">
        <f t="shared" si="18"/>
        <v>0</v>
      </c>
      <c r="I85" s="389"/>
      <c r="J85" s="388"/>
      <c r="K85" s="446"/>
      <c r="L85" s="446"/>
      <c r="M85" s="373">
        <f>IF(F85="y",(((K85+L85)*Rates!$I$362))/12,((K85+L85)/12))</f>
        <v>0</v>
      </c>
      <c r="N85" s="485">
        <f t="shared" si="13"/>
        <v>0</v>
      </c>
      <c r="O85" s="254">
        <f t="shared" si="14"/>
        <v>0</v>
      </c>
      <c r="P85" s="355">
        <f t="shared" si="19"/>
        <v>0</v>
      </c>
      <c r="Q85" s="32">
        <f t="shared" si="20"/>
        <v>0</v>
      </c>
      <c r="R85" s="12"/>
      <c r="S85" s="391"/>
      <c r="T85" s="1120">
        <f t="shared" si="21"/>
        <v>0</v>
      </c>
      <c r="U85" s="389"/>
      <c r="V85" s="388"/>
      <c r="W85" s="446"/>
      <c r="X85" s="446"/>
      <c r="Y85" s="390"/>
      <c r="Z85" s="101">
        <f t="shared" si="15"/>
        <v>0</v>
      </c>
      <c r="AA85" s="373">
        <f>IF(F85="y",((((W85+X85+Y85+Z85)*T85)*Rates!$C$379))/12,(((W85+X85+Y85+Z85)*T85)/12))</f>
        <v>0</v>
      </c>
      <c r="AB85" s="254">
        <f t="shared" si="16"/>
        <v>0</v>
      </c>
      <c r="AC85" s="33">
        <f t="shared" si="22"/>
        <v>0</v>
      </c>
      <c r="AD85" s="427">
        <f t="shared" si="17"/>
        <v>0</v>
      </c>
      <c r="AE85" s="38">
        <v>76</v>
      </c>
      <c r="AF85" s="387"/>
      <c r="AG85" s="1070"/>
      <c r="AH85" s="387"/>
      <c r="AI85" s="1070"/>
      <c r="AJ85" s="387"/>
      <c r="AK85" s="1070"/>
      <c r="AL85" s="428"/>
      <c r="AM85" s="428"/>
      <c r="AN85" s="623"/>
      <c r="AO85" s="267"/>
      <c r="AP85" s="267"/>
      <c r="AQ85" s="267"/>
      <c r="AR85" s="267"/>
      <c r="AS85" s="267"/>
      <c r="AT85" s="267"/>
      <c r="AU85" s="267"/>
    </row>
    <row r="86" spans="1:47" ht="27" hidden="1" customHeight="1" x14ac:dyDescent="0.2">
      <c r="A86" s="38">
        <v>77</v>
      </c>
      <c r="B86" s="379"/>
      <c r="C86" s="495"/>
      <c r="D86" s="495"/>
      <c r="E86" s="505"/>
      <c r="F86" s="387"/>
      <c r="G86" s="133"/>
      <c r="H86" s="1120">
        <f t="shared" si="18"/>
        <v>0</v>
      </c>
      <c r="I86" s="389"/>
      <c r="J86" s="388"/>
      <c r="K86" s="446"/>
      <c r="L86" s="446"/>
      <c r="M86" s="373">
        <f>IF(F86="y",(((K86+L86)*Rates!$I$362))/12,((K86+L86)/12))</f>
        <v>0</v>
      </c>
      <c r="N86" s="485">
        <f t="shared" si="13"/>
        <v>0</v>
      </c>
      <c r="O86" s="254">
        <f t="shared" si="14"/>
        <v>0</v>
      </c>
      <c r="P86" s="355">
        <f t="shared" si="19"/>
        <v>0</v>
      </c>
      <c r="Q86" s="32">
        <f t="shared" si="20"/>
        <v>0</v>
      </c>
      <c r="R86" s="12"/>
      <c r="S86" s="391"/>
      <c r="T86" s="1120">
        <f t="shared" si="21"/>
        <v>0</v>
      </c>
      <c r="U86" s="389"/>
      <c r="V86" s="388"/>
      <c r="W86" s="446"/>
      <c r="X86" s="446"/>
      <c r="Y86" s="390"/>
      <c r="Z86" s="101">
        <f t="shared" si="15"/>
        <v>0</v>
      </c>
      <c r="AA86" s="373">
        <f>IF(F86="y",((((W86+X86+Y86+Z86)*T86)*Rates!$C$379))/12,(((W86+X86+Y86+Z86)*T86)/12))</f>
        <v>0</v>
      </c>
      <c r="AB86" s="254">
        <f t="shared" si="16"/>
        <v>0</v>
      </c>
      <c r="AC86" s="33">
        <f t="shared" si="22"/>
        <v>0</v>
      </c>
      <c r="AD86" s="427">
        <f t="shared" si="17"/>
        <v>0</v>
      </c>
      <c r="AE86" s="38">
        <v>77</v>
      </c>
      <c r="AF86" s="387"/>
      <c r="AG86" s="1070"/>
      <c r="AH86" s="387"/>
      <c r="AI86" s="1070"/>
      <c r="AJ86" s="387"/>
      <c r="AK86" s="1070"/>
      <c r="AL86" s="428"/>
      <c r="AM86" s="428"/>
      <c r="AN86" s="623"/>
      <c r="AO86" s="267"/>
      <c r="AP86" s="267"/>
      <c r="AQ86" s="267"/>
      <c r="AR86" s="267"/>
      <c r="AS86" s="267"/>
      <c r="AT86" s="267"/>
      <c r="AU86" s="267"/>
    </row>
    <row r="87" spans="1:47" ht="27" hidden="1" customHeight="1" x14ac:dyDescent="0.2">
      <c r="A87" s="38">
        <v>78</v>
      </c>
      <c r="B87" s="379"/>
      <c r="C87" s="495"/>
      <c r="D87" s="495"/>
      <c r="E87" s="505"/>
      <c r="F87" s="387"/>
      <c r="G87" s="133"/>
      <c r="H87" s="1120">
        <f t="shared" si="18"/>
        <v>0</v>
      </c>
      <c r="I87" s="389"/>
      <c r="J87" s="388"/>
      <c r="K87" s="446"/>
      <c r="L87" s="446"/>
      <c r="M87" s="373">
        <f>IF(F87="y",(((K87+L87)*Rates!$I$362))/12,((K87+L87)/12))</f>
        <v>0</v>
      </c>
      <c r="N87" s="485">
        <f t="shared" si="13"/>
        <v>0</v>
      </c>
      <c r="O87" s="254">
        <f t="shared" si="14"/>
        <v>0</v>
      </c>
      <c r="P87" s="355">
        <f t="shared" si="19"/>
        <v>0</v>
      </c>
      <c r="Q87" s="32">
        <f t="shared" si="20"/>
        <v>0</v>
      </c>
      <c r="R87" s="12"/>
      <c r="S87" s="391"/>
      <c r="T87" s="1120">
        <f t="shared" si="21"/>
        <v>0</v>
      </c>
      <c r="U87" s="389"/>
      <c r="V87" s="388"/>
      <c r="W87" s="446"/>
      <c r="X87" s="446"/>
      <c r="Y87" s="390"/>
      <c r="Z87" s="101">
        <f t="shared" si="15"/>
        <v>0</v>
      </c>
      <c r="AA87" s="373">
        <f>IF(F87="y",((((W87+X87+Y87+Z87)*T87)*Rates!$C$379))/12,(((W87+X87+Y87+Z87)*T87)/12))</f>
        <v>0</v>
      </c>
      <c r="AB87" s="254">
        <f t="shared" si="16"/>
        <v>0</v>
      </c>
      <c r="AC87" s="33">
        <f t="shared" si="22"/>
        <v>0</v>
      </c>
      <c r="AD87" s="427">
        <f t="shared" si="17"/>
        <v>0</v>
      </c>
      <c r="AE87" s="38">
        <v>78</v>
      </c>
      <c r="AF87" s="387"/>
      <c r="AG87" s="1070"/>
      <c r="AH87" s="387"/>
      <c r="AI87" s="1070"/>
      <c r="AJ87" s="387"/>
      <c r="AK87" s="1070"/>
      <c r="AL87" s="428"/>
      <c r="AM87" s="428"/>
      <c r="AN87" s="623"/>
      <c r="AO87" s="267"/>
      <c r="AP87" s="267"/>
      <c r="AQ87" s="267"/>
      <c r="AR87" s="267"/>
      <c r="AS87" s="267"/>
      <c r="AT87" s="267"/>
      <c r="AU87" s="267"/>
    </row>
    <row r="88" spans="1:47" ht="27" hidden="1" customHeight="1" x14ac:dyDescent="0.2">
      <c r="A88" s="38">
        <v>79</v>
      </c>
      <c r="B88" s="379"/>
      <c r="C88" s="495"/>
      <c r="D88" s="495"/>
      <c r="E88" s="505"/>
      <c r="F88" s="387"/>
      <c r="G88" s="133"/>
      <c r="H88" s="1120">
        <f t="shared" si="18"/>
        <v>0</v>
      </c>
      <c r="I88" s="389"/>
      <c r="J88" s="388"/>
      <c r="K88" s="446"/>
      <c r="L88" s="446"/>
      <c r="M88" s="373">
        <f>IF(F88="y",(((K88+L88)*Rates!$I$362))/12,((K88+L88)/12))</f>
        <v>0</v>
      </c>
      <c r="N88" s="485">
        <f t="shared" si="13"/>
        <v>0</v>
      </c>
      <c r="O88" s="254">
        <f t="shared" si="14"/>
        <v>0</v>
      </c>
      <c r="P88" s="355">
        <f t="shared" si="19"/>
        <v>0</v>
      </c>
      <c r="Q88" s="32">
        <f t="shared" si="20"/>
        <v>0</v>
      </c>
      <c r="R88" s="12"/>
      <c r="S88" s="391"/>
      <c r="T88" s="1120">
        <f t="shared" si="21"/>
        <v>0</v>
      </c>
      <c r="U88" s="389"/>
      <c r="V88" s="388"/>
      <c r="W88" s="446"/>
      <c r="X88" s="446"/>
      <c r="Y88" s="390"/>
      <c r="Z88" s="101">
        <f t="shared" si="15"/>
        <v>0</v>
      </c>
      <c r="AA88" s="373">
        <f>IF(F88="y",((((W88+X88+Y88+Z88)*T88)*Rates!$C$379))/12,(((W88+X88+Y88+Z88)*T88)/12))</f>
        <v>0</v>
      </c>
      <c r="AB88" s="254">
        <f t="shared" si="16"/>
        <v>0</v>
      </c>
      <c r="AC88" s="33">
        <f t="shared" si="22"/>
        <v>0</v>
      </c>
      <c r="AD88" s="427">
        <f t="shared" si="17"/>
        <v>0</v>
      </c>
      <c r="AE88" s="38">
        <v>79</v>
      </c>
      <c r="AF88" s="387"/>
      <c r="AG88" s="1070"/>
      <c r="AH88" s="387"/>
      <c r="AI88" s="1070"/>
      <c r="AJ88" s="387"/>
      <c r="AK88" s="1070"/>
      <c r="AL88" s="428"/>
      <c r="AM88" s="428"/>
      <c r="AN88" s="623"/>
      <c r="AO88" s="267"/>
      <c r="AP88" s="267"/>
      <c r="AQ88" s="267"/>
      <c r="AR88" s="267"/>
      <c r="AS88" s="267"/>
      <c r="AT88" s="267"/>
      <c r="AU88" s="267"/>
    </row>
    <row r="89" spans="1:47" ht="27" hidden="1" customHeight="1" x14ac:dyDescent="0.2">
      <c r="A89" s="38">
        <v>80</v>
      </c>
      <c r="B89" s="379"/>
      <c r="C89" s="495"/>
      <c r="D89" s="495"/>
      <c r="E89" s="505"/>
      <c r="F89" s="387"/>
      <c r="G89" s="133"/>
      <c r="H89" s="1120">
        <f t="shared" si="18"/>
        <v>0</v>
      </c>
      <c r="I89" s="389"/>
      <c r="J89" s="388"/>
      <c r="K89" s="446"/>
      <c r="L89" s="446"/>
      <c r="M89" s="373">
        <f>IF(F89="y",(((K89+L89)*Rates!$I$362))/12,((K89+L89)/12))</f>
        <v>0</v>
      </c>
      <c r="N89" s="485">
        <f t="shared" si="13"/>
        <v>0</v>
      </c>
      <c r="O89" s="254">
        <f t="shared" si="14"/>
        <v>0</v>
      </c>
      <c r="P89" s="355">
        <f t="shared" si="19"/>
        <v>0</v>
      </c>
      <c r="Q89" s="32">
        <f t="shared" si="20"/>
        <v>0</v>
      </c>
      <c r="R89" s="12"/>
      <c r="S89" s="391"/>
      <c r="T89" s="1120">
        <f t="shared" si="21"/>
        <v>0</v>
      </c>
      <c r="U89" s="389"/>
      <c r="V89" s="388"/>
      <c r="W89" s="446"/>
      <c r="X89" s="446"/>
      <c r="Y89" s="390"/>
      <c r="Z89" s="101">
        <f t="shared" si="15"/>
        <v>0</v>
      </c>
      <c r="AA89" s="373">
        <f>IF(F89="y",((((W89+X89+Y89+Z89)*T89)*Rates!$C$379))/12,(((W89+X89+Y89+Z89)*T89)/12))</f>
        <v>0</v>
      </c>
      <c r="AB89" s="254">
        <f t="shared" si="16"/>
        <v>0</v>
      </c>
      <c r="AC89" s="33">
        <f t="shared" si="22"/>
        <v>0</v>
      </c>
      <c r="AD89" s="427">
        <f t="shared" si="17"/>
        <v>0</v>
      </c>
      <c r="AE89" s="38">
        <v>80</v>
      </c>
      <c r="AF89" s="387"/>
      <c r="AG89" s="1070"/>
      <c r="AH89" s="387"/>
      <c r="AI89" s="1070"/>
      <c r="AJ89" s="387"/>
      <c r="AK89" s="1070"/>
      <c r="AL89" s="428"/>
      <c r="AM89" s="428"/>
      <c r="AN89" s="623"/>
      <c r="AO89" s="267"/>
      <c r="AP89" s="267"/>
      <c r="AQ89" s="267"/>
      <c r="AR89" s="267"/>
      <c r="AS89" s="267"/>
      <c r="AT89" s="267"/>
      <c r="AU89" s="267"/>
    </row>
    <row r="90" spans="1:47" ht="27" hidden="1" customHeight="1" x14ac:dyDescent="0.2">
      <c r="A90" s="38">
        <v>81</v>
      </c>
      <c r="B90" s="379"/>
      <c r="C90" s="495"/>
      <c r="D90" s="495"/>
      <c r="E90" s="505"/>
      <c r="F90" s="387"/>
      <c r="G90" s="133"/>
      <c r="H90" s="1120">
        <f t="shared" si="18"/>
        <v>0</v>
      </c>
      <c r="I90" s="389"/>
      <c r="J90" s="388"/>
      <c r="K90" s="446"/>
      <c r="L90" s="446"/>
      <c r="M90" s="373">
        <f>IF(F90="y",(((K90+L90)*Rates!$I$362))/12,((K90+L90)/12))</f>
        <v>0</v>
      </c>
      <c r="N90" s="485">
        <f t="shared" si="13"/>
        <v>0</v>
      </c>
      <c r="O90" s="254">
        <f t="shared" si="14"/>
        <v>0</v>
      </c>
      <c r="P90" s="355">
        <f t="shared" si="19"/>
        <v>0</v>
      </c>
      <c r="Q90" s="32">
        <f t="shared" si="20"/>
        <v>0</v>
      </c>
      <c r="R90" s="12"/>
      <c r="S90" s="391"/>
      <c r="T90" s="1120">
        <f t="shared" si="21"/>
        <v>0</v>
      </c>
      <c r="U90" s="389"/>
      <c r="V90" s="388"/>
      <c r="W90" s="446"/>
      <c r="X90" s="446"/>
      <c r="Y90" s="390"/>
      <c r="Z90" s="101">
        <f t="shared" si="15"/>
        <v>0</v>
      </c>
      <c r="AA90" s="373">
        <f>IF(F90="y",((((W90+X90+Y90+Z90)*T90)*Rates!$C$379))/12,(((W90+X90+Y90+Z90)*T90)/12))</f>
        <v>0</v>
      </c>
      <c r="AB90" s="254">
        <f t="shared" si="16"/>
        <v>0</v>
      </c>
      <c r="AC90" s="33">
        <f t="shared" si="22"/>
        <v>0</v>
      </c>
      <c r="AD90" s="427">
        <f t="shared" si="17"/>
        <v>0</v>
      </c>
      <c r="AE90" s="38">
        <v>81</v>
      </c>
      <c r="AF90" s="387"/>
      <c r="AG90" s="1070"/>
      <c r="AH90" s="387"/>
      <c r="AI90" s="1070"/>
      <c r="AJ90" s="387"/>
      <c r="AK90" s="1070"/>
      <c r="AL90" s="428"/>
      <c r="AM90" s="428"/>
      <c r="AN90" s="623"/>
      <c r="AO90" s="267"/>
      <c r="AP90" s="267"/>
      <c r="AQ90" s="267"/>
      <c r="AR90" s="267"/>
      <c r="AS90" s="267"/>
      <c r="AT90" s="267"/>
      <c r="AU90" s="267"/>
    </row>
    <row r="91" spans="1:47" ht="27" hidden="1" customHeight="1" x14ac:dyDescent="0.2">
      <c r="A91" s="38">
        <v>82</v>
      </c>
      <c r="B91" s="379"/>
      <c r="C91" s="495"/>
      <c r="D91" s="495"/>
      <c r="E91" s="505"/>
      <c r="F91" s="387"/>
      <c r="G91" s="133"/>
      <c r="H91" s="1120">
        <f t="shared" si="18"/>
        <v>0</v>
      </c>
      <c r="I91" s="389"/>
      <c r="J91" s="388"/>
      <c r="K91" s="446"/>
      <c r="L91" s="446"/>
      <c r="M91" s="373">
        <f>IF(F91="y",(((K91+L91)*Rates!$I$362))/12,((K91+L91)/12))</f>
        <v>0</v>
      </c>
      <c r="N91" s="485">
        <f t="shared" si="13"/>
        <v>0</v>
      </c>
      <c r="O91" s="254">
        <f t="shared" si="14"/>
        <v>0</v>
      </c>
      <c r="P91" s="355">
        <f t="shared" si="19"/>
        <v>0</v>
      </c>
      <c r="Q91" s="32">
        <f t="shared" si="20"/>
        <v>0</v>
      </c>
      <c r="R91" s="12"/>
      <c r="S91" s="391"/>
      <c r="T91" s="1120">
        <f t="shared" si="21"/>
        <v>0</v>
      </c>
      <c r="U91" s="389"/>
      <c r="V91" s="388"/>
      <c r="W91" s="446"/>
      <c r="X91" s="446"/>
      <c r="Y91" s="390"/>
      <c r="Z91" s="101">
        <f t="shared" si="15"/>
        <v>0</v>
      </c>
      <c r="AA91" s="373">
        <f>IF(F91="y",((((W91+X91+Y91+Z91)*T91)*Rates!$C$379))/12,(((W91+X91+Y91+Z91)*T91)/12))</f>
        <v>0</v>
      </c>
      <c r="AB91" s="254">
        <f t="shared" si="16"/>
        <v>0</v>
      </c>
      <c r="AC91" s="33">
        <f t="shared" si="22"/>
        <v>0</v>
      </c>
      <c r="AD91" s="427">
        <f t="shared" si="17"/>
        <v>0</v>
      </c>
      <c r="AE91" s="38">
        <v>82</v>
      </c>
      <c r="AF91" s="387"/>
      <c r="AG91" s="1070"/>
      <c r="AH91" s="387"/>
      <c r="AI91" s="1070"/>
      <c r="AJ91" s="387"/>
      <c r="AK91" s="1070"/>
      <c r="AL91" s="428"/>
      <c r="AM91" s="428"/>
      <c r="AN91" s="623"/>
      <c r="AO91" s="267"/>
      <c r="AP91" s="267"/>
      <c r="AQ91" s="267"/>
      <c r="AR91" s="267"/>
      <c r="AS91" s="267"/>
      <c r="AT91" s="267"/>
      <c r="AU91" s="267"/>
    </row>
    <row r="92" spans="1:47" ht="27" hidden="1" customHeight="1" x14ac:dyDescent="0.2">
      <c r="A92" s="38">
        <v>83</v>
      </c>
      <c r="B92" s="379"/>
      <c r="C92" s="495"/>
      <c r="D92" s="495"/>
      <c r="E92" s="505"/>
      <c r="F92" s="387"/>
      <c r="G92" s="133"/>
      <c r="H92" s="1120">
        <f t="shared" si="18"/>
        <v>0</v>
      </c>
      <c r="I92" s="389"/>
      <c r="J92" s="388"/>
      <c r="K92" s="446"/>
      <c r="L92" s="446"/>
      <c r="M92" s="373">
        <f>IF(F92="y",(((K92+L92)*Rates!$I$362))/12,((K92+L92)/12))</f>
        <v>0</v>
      </c>
      <c r="N92" s="485">
        <f t="shared" si="13"/>
        <v>0</v>
      </c>
      <c r="O92" s="254">
        <f t="shared" si="14"/>
        <v>0</v>
      </c>
      <c r="P92" s="355">
        <f t="shared" si="19"/>
        <v>0</v>
      </c>
      <c r="Q92" s="32">
        <f t="shared" si="20"/>
        <v>0</v>
      </c>
      <c r="R92" s="12"/>
      <c r="S92" s="391"/>
      <c r="T92" s="1120">
        <f t="shared" si="21"/>
        <v>0</v>
      </c>
      <c r="U92" s="389"/>
      <c r="V92" s="388"/>
      <c r="W92" s="446"/>
      <c r="X92" s="446"/>
      <c r="Y92" s="390"/>
      <c r="Z92" s="101">
        <f t="shared" si="15"/>
        <v>0</v>
      </c>
      <c r="AA92" s="373">
        <f>IF(F92="y",((((W92+X92+Y92+Z92)*T92)*Rates!$C$379))/12,(((W92+X92+Y92+Z92)*T92)/12))</f>
        <v>0</v>
      </c>
      <c r="AB92" s="254">
        <f t="shared" si="16"/>
        <v>0</v>
      </c>
      <c r="AC92" s="33">
        <f t="shared" si="22"/>
        <v>0</v>
      </c>
      <c r="AD92" s="427">
        <f t="shared" si="17"/>
        <v>0</v>
      </c>
      <c r="AE92" s="38">
        <v>83</v>
      </c>
      <c r="AF92" s="387"/>
      <c r="AG92" s="1070"/>
      <c r="AH92" s="387"/>
      <c r="AI92" s="1070"/>
      <c r="AJ92" s="387"/>
      <c r="AK92" s="1070"/>
      <c r="AL92" s="428"/>
      <c r="AM92" s="428"/>
      <c r="AN92" s="623"/>
      <c r="AO92" s="267"/>
      <c r="AP92" s="267"/>
      <c r="AQ92" s="267"/>
      <c r="AR92" s="267"/>
      <c r="AS92" s="267"/>
      <c r="AT92" s="267"/>
      <c r="AU92" s="267"/>
    </row>
    <row r="93" spans="1:47" ht="27" hidden="1" customHeight="1" x14ac:dyDescent="0.2">
      <c r="A93" s="38">
        <v>84</v>
      </c>
      <c r="B93" s="379"/>
      <c r="C93" s="495"/>
      <c r="D93" s="495"/>
      <c r="E93" s="505"/>
      <c r="F93" s="387"/>
      <c r="G93" s="133"/>
      <c r="H93" s="1120">
        <f t="shared" si="18"/>
        <v>0</v>
      </c>
      <c r="I93" s="389"/>
      <c r="J93" s="388"/>
      <c r="K93" s="446"/>
      <c r="L93" s="446"/>
      <c r="M93" s="373">
        <f>IF(F93="y",(((K93+L93)*Rates!$I$362))/12,((K93+L93)/12))</f>
        <v>0</v>
      </c>
      <c r="N93" s="485">
        <f t="shared" si="13"/>
        <v>0</v>
      </c>
      <c r="O93" s="254">
        <f t="shared" si="14"/>
        <v>0</v>
      </c>
      <c r="P93" s="355">
        <f t="shared" si="19"/>
        <v>0</v>
      </c>
      <c r="Q93" s="32">
        <f t="shared" si="20"/>
        <v>0</v>
      </c>
      <c r="R93" s="12"/>
      <c r="S93" s="391"/>
      <c r="T93" s="1120">
        <f t="shared" si="21"/>
        <v>0</v>
      </c>
      <c r="U93" s="389"/>
      <c r="V93" s="388"/>
      <c r="W93" s="446"/>
      <c r="X93" s="446"/>
      <c r="Y93" s="390"/>
      <c r="Z93" s="101">
        <f t="shared" si="15"/>
        <v>0</v>
      </c>
      <c r="AA93" s="373">
        <f>IF(F93="y",((((W93+X93+Y93+Z93)*T93)*Rates!$C$379))/12,(((W93+X93+Y93+Z93)*T93)/12))</f>
        <v>0</v>
      </c>
      <c r="AB93" s="254">
        <f t="shared" si="16"/>
        <v>0</v>
      </c>
      <c r="AC93" s="33">
        <f t="shared" si="22"/>
        <v>0</v>
      </c>
      <c r="AD93" s="427">
        <f t="shared" si="17"/>
        <v>0</v>
      </c>
      <c r="AE93" s="38">
        <v>84</v>
      </c>
      <c r="AF93" s="387"/>
      <c r="AG93" s="1070"/>
      <c r="AH93" s="387"/>
      <c r="AI93" s="1070"/>
      <c r="AJ93" s="387"/>
      <c r="AK93" s="1070"/>
      <c r="AL93" s="428"/>
      <c r="AM93" s="428"/>
      <c r="AN93" s="623"/>
      <c r="AO93" s="267"/>
      <c r="AP93" s="267"/>
      <c r="AQ93" s="267"/>
      <c r="AR93" s="267"/>
      <c r="AS93" s="267"/>
      <c r="AT93" s="267"/>
      <c r="AU93" s="267"/>
    </row>
    <row r="94" spans="1:47" ht="27" hidden="1" customHeight="1" x14ac:dyDescent="0.2">
      <c r="A94" s="38">
        <v>85</v>
      </c>
      <c r="B94" s="379"/>
      <c r="C94" s="495"/>
      <c r="D94" s="495"/>
      <c r="E94" s="505"/>
      <c r="F94" s="387"/>
      <c r="G94" s="133"/>
      <c r="H94" s="1120">
        <f t="shared" si="18"/>
        <v>0</v>
      </c>
      <c r="I94" s="389"/>
      <c r="J94" s="388"/>
      <c r="K94" s="446"/>
      <c r="L94" s="446"/>
      <c r="M94" s="373">
        <f>IF(F94="y",(((K94+L94)*Rates!$I$362))/12,((K94+L94)/12))</f>
        <v>0</v>
      </c>
      <c r="N94" s="485">
        <f t="shared" si="13"/>
        <v>0</v>
      </c>
      <c r="O94" s="254">
        <f t="shared" si="14"/>
        <v>0</v>
      </c>
      <c r="P94" s="355">
        <f t="shared" si="19"/>
        <v>0</v>
      </c>
      <c r="Q94" s="32">
        <f t="shared" si="20"/>
        <v>0</v>
      </c>
      <c r="R94" s="12"/>
      <c r="S94" s="391"/>
      <c r="T94" s="1120">
        <f t="shared" si="21"/>
        <v>0</v>
      </c>
      <c r="U94" s="389"/>
      <c r="V94" s="388"/>
      <c r="W94" s="446"/>
      <c r="X94" s="446"/>
      <c r="Y94" s="390"/>
      <c r="Z94" s="101">
        <f t="shared" si="15"/>
        <v>0</v>
      </c>
      <c r="AA94" s="373">
        <f>IF(F94="y",((((W94+X94+Y94+Z94)*T94)*Rates!$C$379))/12,(((W94+X94+Y94+Z94)*T94)/12))</f>
        <v>0</v>
      </c>
      <c r="AB94" s="254">
        <f t="shared" si="16"/>
        <v>0</v>
      </c>
      <c r="AC94" s="33">
        <f t="shared" si="22"/>
        <v>0</v>
      </c>
      <c r="AD94" s="427">
        <f t="shared" si="17"/>
        <v>0</v>
      </c>
      <c r="AE94" s="38">
        <v>85</v>
      </c>
      <c r="AF94" s="387"/>
      <c r="AG94" s="1070"/>
      <c r="AH94" s="387"/>
      <c r="AI94" s="1070"/>
      <c r="AJ94" s="387"/>
      <c r="AK94" s="1070"/>
      <c r="AL94" s="428"/>
      <c r="AM94" s="428"/>
      <c r="AN94" s="623"/>
      <c r="AO94" s="267"/>
      <c r="AP94" s="267"/>
      <c r="AQ94" s="267"/>
      <c r="AR94" s="267"/>
      <c r="AS94" s="267"/>
      <c r="AT94" s="267"/>
      <c r="AU94" s="267"/>
    </row>
    <row r="95" spans="1:47" ht="27" hidden="1" customHeight="1" x14ac:dyDescent="0.2">
      <c r="A95" s="38">
        <v>86</v>
      </c>
      <c r="B95" s="379"/>
      <c r="C95" s="495"/>
      <c r="D95" s="495"/>
      <c r="E95" s="505"/>
      <c r="F95" s="387"/>
      <c r="G95" s="133"/>
      <c r="H95" s="1120">
        <f t="shared" si="18"/>
        <v>0</v>
      </c>
      <c r="I95" s="389"/>
      <c r="J95" s="388"/>
      <c r="K95" s="446"/>
      <c r="L95" s="446"/>
      <c r="M95" s="373">
        <f>IF(F95="y",(((K95+L95)*Rates!$I$362))/12,((K95+L95)/12))</f>
        <v>0</v>
      </c>
      <c r="N95" s="485">
        <f t="shared" si="13"/>
        <v>0</v>
      </c>
      <c r="O95" s="254">
        <f t="shared" si="14"/>
        <v>0</v>
      </c>
      <c r="P95" s="355">
        <f t="shared" si="19"/>
        <v>0</v>
      </c>
      <c r="Q95" s="32">
        <f t="shared" si="20"/>
        <v>0</v>
      </c>
      <c r="R95" s="12"/>
      <c r="S95" s="391"/>
      <c r="T95" s="1120">
        <f t="shared" si="21"/>
        <v>0</v>
      </c>
      <c r="U95" s="389"/>
      <c r="V95" s="388"/>
      <c r="W95" s="446"/>
      <c r="X95" s="446"/>
      <c r="Y95" s="390"/>
      <c r="Z95" s="101">
        <f>IF(S95="y",0,((W95+Y95)*$Z$9))</f>
        <v>0</v>
      </c>
      <c r="AA95" s="373">
        <f>IF(F95="y",((((W95+X95+Y95+Z95)*T95)*Rates!$C$379))/12,(((W95+X95+Y95+Z95)*T95)/12))</f>
        <v>0</v>
      </c>
      <c r="AB95" s="254">
        <f>AA95*V95</f>
        <v>0</v>
      </c>
      <c r="AC95" s="33">
        <f t="shared" si="22"/>
        <v>0</v>
      </c>
      <c r="AD95" s="427">
        <f>SUM(AC95:AC95)</f>
        <v>0</v>
      </c>
      <c r="AE95" s="38">
        <v>86</v>
      </c>
      <c r="AF95" s="387"/>
      <c r="AG95" s="1070"/>
      <c r="AH95" s="387"/>
      <c r="AI95" s="1070"/>
      <c r="AJ95" s="387"/>
      <c r="AK95" s="1070"/>
      <c r="AL95" s="428"/>
      <c r="AM95" s="428"/>
      <c r="AN95" s="623"/>
      <c r="AO95" s="267"/>
      <c r="AP95" s="267"/>
      <c r="AQ95" s="267"/>
      <c r="AR95" s="267"/>
      <c r="AS95" s="267"/>
      <c r="AT95" s="267"/>
      <c r="AU95" s="267"/>
    </row>
    <row r="96" spans="1:47" ht="27" hidden="1" customHeight="1" x14ac:dyDescent="0.2">
      <c r="A96" s="38">
        <v>87</v>
      </c>
      <c r="B96" s="379"/>
      <c r="C96" s="495"/>
      <c r="D96" s="495"/>
      <c r="E96" s="505"/>
      <c r="F96" s="387"/>
      <c r="G96" s="133"/>
      <c r="H96" s="1120">
        <f t="shared" si="18"/>
        <v>0</v>
      </c>
      <c r="I96" s="389"/>
      <c r="J96" s="388"/>
      <c r="K96" s="446"/>
      <c r="L96" s="446"/>
      <c r="M96" s="373">
        <f>IF(F96="y",(((K96+L96)*Rates!$I$362))/12,((K96+L96)/12))</f>
        <v>0</v>
      </c>
      <c r="N96" s="485">
        <f t="shared" si="13"/>
        <v>0</v>
      </c>
      <c r="O96" s="254">
        <f t="shared" si="14"/>
        <v>0</v>
      </c>
      <c r="P96" s="355">
        <f t="shared" si="19"/>
        <v>0</v>
      </c>
      <c r="Q96" s="32">
        <f t="shared" si="20"/>
        <v>0</v>
      </c>
      <c r="R96" s="12"/>
      <c r="S96" s="391"/>
      <c r="T96" s="1120">
        <f t="shared" si="21"/>
        <v>0</v>
      </c>
      <c r="U96" s="389"/>
      <c r="V96" s="388"/>
      <c r="W96" s="446"/>
      <c r="X96" s="446"/>
      <c r="Y96" s="390"/>
      <c r="Z96" s="101">
        <f t="shared" ref="Z96:Z109" si="23">IF(S96="y",0,((W96+Y96)*$Z$9))</f>
        <v>0</v>
      </c>
      <c r="AA96" s="373">
        <f>IF(F96="y",((((W96+X96+Y96+Z96)*T96)*Rates!$C$379))/12,(((W96+X96+Y96+Z96)*T96)/12))</f>
        <v>0</v>
      </c>
      <c r="AB96" s="254">
        <f t="shared" ref="AB96:AB109" si="24">AA96*V96</f>
        <v>0</v>
      </c>
      <c r="AC96" s="33">
        <f t="shared" si="22"/>
        <v>0</v>
      </c>
      <c r="AD96" s="427">
        <f t="shared" si="17"/>
        <v>0</v>
      </c>
      <c r="AE96" s="38">
        <v>87</v>
      </c>
      <c r="AF96" s="387"/>
      <c r="AG96" s="1070"/>
      <c r="AH96" s="387"/>
      <c r="AI96" s="1070"/>
      <c r="AJ96" s="387"/>
      <c r="AK96" s="1070"/>
      <c r="AL96" s="428"/>
      <c r="AM96" s="428"/>
      <c r="AN96" s="623"/>
      <c r="AO96" s="267"/>
      <c r="AP96" s="267"/>
      <c r="AQ96" s="267"/>
      <c r="AR96" s="267"/>
      <c r="AS96" s="267"/>
      <c r="AT96" s="267"/>
      <c r="AU96" s="267"/>
    </row>
    <row r="97" spans="1:47" ht="27" hidden="1" customHeight="1" x14ac:dyDescent="0.2">
      <c r="A97" s="38">
        <v>88</v>
      </c>
      <c r="B97" s="379"/>
      <c r="C97" s="495"/>
      <c r="D97" s="495"/>
      <c r="E97" s="505"/>
      <c r="F97" s="387"/>
      <c r="G97" s="133"/>
      <c r="H97" s="1120">
        <f t="shared" si="18"/>
        <v>0</v>
      </c>
      <c r="I97" s="389"/>
      <c r="J97" s="388"/>
      <c r="K97" s="446"/>
      <c r="L97" s="446"/>
      <c r="M97" s="373">
        <f>IF(F97="y",(((K97+L97)*Rates!$I$362))/12,((K97+L97)/12))</f>
        <v>0</v>
      </c>
      <c r="N97" s="485">
        <f t="shared" si="13"/>
        <v>0</v>
      </c>
      <c r="O97" s="254">
        <f t="shared" si="14"/>
        <v>0</v>
      </c>
      <c r="P97" s="355">
        <f t="shared" si="19"/>
        <v>0</v>
      </c>
      <c r="Q97" s="32">
        <f t="shared" si="20"/>
        <v>0</v>
      </c>
      <c r="R97" s="12"/>
      <c r="S97" s="391"/>
      <c r="T97" s="1120">
        <f t="shared" si="21"/>
        <v>0</v>
      </c>
      <c r="U97" s="389"/>
      <c r="V97" s="388"/>
      <c r="W97" s="446"/>
      <c r="X97" s="446"/>
      <c r="Y97" s="390"/>
      <c r="Z97" s="101">
        <f t="shared" si="23"/>
        <v>0</v>
      </c>
      <c r="AA97" s="373">
        <f>IF(F97="y",((((W97+X97+Y97+Z97)*T97)*Rates!$C$379))/12,(((W97+X97+Y97+Z97)*T97)/12))</f>
        <v>0</v>
      </c>
      <c r="AB97" s="254">
        <f t="shared" si="24"/>
        <v>0</v>
      </c>
      <c r="AC97" s="33">
        <f t="shared" si="22"/>
        <v>0</v>
      </c>
      <c r="AD97" s="427">
        <f t="shared" si="17"/>
        <v>0</v>
      </c>
      <c r="AE97" s="38">
        <v>88</v>
      </c>
      <c r="AF97" s="387"/>
      <c r="AG97" s="1070"/>
      <c r="AH97" s="387"/>
      <c r="AI97" s="1070"/>
      <c r="AJ97" s="387"/>
      <c r="AK97" s="1070"/>
      <c r="AL97" s="428"/>
      <c r="AM97" s="428"/>
      <c r="AN97" s="623"/>
      <c r="AO97" s="267"/>
      <c r="AP97" s="267"/>
      <c r="AQ97" s="267"/>
      <c r="AR97" s="267"/>
      <c r="AS97" s="267"/>
      <c r="AT97" s="267"/>
      <c r="AU97" s="267"/>
    </row>
    <row r="98" spans="1:47" ht="27" hidden="1" customHeight="1" x14ac:dyDescent="0.2">
      <c r="A98" s="38">
        <v>89</v>
      </c>
      <c r="B98" s="379"/>
      <c r="C98" s="495"/>
      <c r="D98" s="495"/>
      <c r="E98" s="505"/>
      <c r="F98" s="387"/>
      <c r="G98" s="133"/>
      <c r="H98" s="1120">
        <f t="shared" si="18"/>
        <v>0</v>
      </c>
      <c r="I98" s="389"/>
      <c r="J98" s="388"/>
      <c r="K98" s="446"/>
      <c r="L98" s="446"/>
      <c r="M98" s="373">
        <f>IF(F98="y",(((K98+L98)*Rates!$I$362))/12,((K98+L98)/12))</f>
        <v>0</v>
      </c>
      <c r="N98" s="485">
        <f t="shared" si="13"/>
        <v>0</v>
      </c>
      <c r="O98" s="254">
        <f t="shared" si="14"/>
        <v>0</v>
      </c>
      <c r="P98" s="355">
        <f t="shared" si="19"/>
        <v>0</v>
      </c>
      <c r="Q98" s="32">
        <f t="shared" si="20"/>
        <v>0</v>
      </c>
      <c r="R98" s="12"/>
      <c r="S98" s="391"/>
      <c r="T98" s="1120">
        <f t="shared" si="21"/>
        <v>0</v>
      </c>
      <c r="U98" s="389"/>
      <c r="V98" s="388"/>
      <c r="W98" s="446"/>
      <c r="X98" s="446"/>
      <c r="Y98" s="390"/>
      <c r="Z98" s="101">
        <f t="shared" si="23"/>
        <v>0</v>
      </c>
      <c r="AA98" s="373">
        <f>IF(F98="y",((((W98+X98+Y98+Z98)*T98)*Rates!$C$379))/12,(((W98+X98+Y98+Z98)*T98)/12))</f>
        <v>0</v>
      </c>
      <c r="AB98" s="254">
        <f t="shared" si="24"/>
        <v>0</v>
      </c>
      <c r="AC98" s="33">
        <f t="shared" si="22"/>
        <v>0</v>
      </c>
      <c r="AD98" s="427">
        <f t="shared" si="17"/>
        <v>0</v>
      </c>
      <c r="AE98" s="38">
        <v>89</v>
      </c>
      <c r="AF98" s="387"/>
      <c r="AG98" s="1070"/>
      <c r="AH98" s="387"/>
      <c r="AI98" s="1070"/>
      <c r="AJ98" s="387"/>
      <c r="AK98" s="1070"/>
      <c r="AL98" s="428"/>
      <c r="AM98" s="428"/>
      <c r="AN98" s="623"/>
      <c r="AO98" s="267"/>
      <c r="AP98" s="267"/>
      <c r="AQ98" s="267"/>
      <c r="AR98" s="267"/>
      <c r="AS98" s="267"/>
      <c r="AT98" s="267"/>
      <c r="AU98" s="267"/>
    </row>
    <row r="99" spans="1:47" ht="27" hidden="1" customHeight="1" x14ac:dyDescent="0.2">
      <c r="A99" s="38">
        <v>90</v>
      </c>
      <c r="B99" s="379"/>
      <c r="C99" s="495"/>
      <c r="D99" s="495"/>
      <c r="E99" s="505"/>
      <c r="F99" s="387"/>
      <c r="G99" s="133"/>
      <c r="H99" s="1120">
        <f t="shared" si="18"/>
        <v>0</v>
      </c>
      <c r="I99" s="389"/>
      <c r="J99" s="388"/>
      <c r="K99" s="446"/>
      <c r="L99" s="446"/>
      <c r="M99" s="373">
        <f>IF(F99="y",(((K99+L99)*Rates!$I$362))/12,((K99+L99)/12))</f>
        <v>0</v>
      </c>
      <c r="N99" s="485">
        <f t="shared" si="13"/>
        <v>0</v>
      </c>
      <c r="O99" s="254">
        <f t="shared" si="14"/>
        <v>0</v>
      </c>
      <c r="P99" s="355">
        <f t="shared" si="19"/>
        <v>0</v>
      </c>
      <c r="Q99" s="32">
        <f t="shared" si="20"/>
        <v>0</v>
      </c>
      <c r="R99" s="12"/>
      <c r="S99" s="391"/>
      <c r="T99" s="1120">
        <f t="shared" si="21"/>
        <v>0</v>
      </c>
      <c r="U99" s="389"/>
      <c r="V99" s="388"/>
      <c r="W99" s="446"/>
      <c r="X99" s="446"/>
      <c r="Y99" s="390"/>
      <c r="Z99" s="101">
        <f t="shared" si="23"/>
        <v>0</v>
      </c>
      <c r="AA99" s="373">
        <f>IF(F99="y",((((W99+X99+Y99+Z99)*T99)*Rates!$C$379))/12,(((W99+X99+Y99+Z99)*T99)/12))</f>
        <v>0</v>
      </c>
      <c r="AB99" s="254">
        <f t="shared" si="24"/>
        <v>0</v>
      </c>
      <c r="AC99" s="33">
        <f t="shared" si="22"/>
        <v>0</v>
      </c>
      <c r="AD99" s="427">
        <f t="shared" si="17"/>
        <v>0</v>
      </c>
      <c r="AE99" s="38">
        <v>90</v>
      </c>
      <c r="AF99" s="387"/>
      <c r="AG99" s="1070"/>
      <c r="AH99" s="387"/>
      <c r="AI99" s="1070"/>
      <c r="AJ99" s="387"/>
      <c r="AK99" s="1070"/>
      <c r="AL99" s="428"/>
      <c r="AM99" s="428"/>
      <c r="AN99" s="623"/>
      <c r="AO99" s="267"/>
      <c r="AP99" s="267"/>
      <c r="AQ99" s="267"/>
      <c r="AR99" s="267"/>
      <c r="AS99" s="267"/>
      <c r="AT99" s="267"/>
      <c r="AU99" s="267"/>
    </row>
    <row r="100" spans="1:47" ht="27" hidden="1" customHeight="1" x14ac:dyDescent="0.2">
      <c r="A100" s="38">
        <v>91</v>
      </c>
      <c r="B100" s="379"/>
      <c r="C100" s="495"/>
      <c r="D100" s="495"/>
      <c r="E100" s="505"/>
      <c r="F100" s="387"/>
      <c r="G100" s="133"/>
      <c r="H100" s="1120">
        <f t="shared" si="18"/>
        <v>0</v>
      </c>
      <c r="I100" s="389"/>
      <c r="J100" s="388"/>
      <c r="K100" s="446"/>
      <c r="L100" s="446"/>
      <c r="M100" s="373">
        <f>IF(F100="y",(((K100+L100)*Rates!$I$362))/12,((K100+L100)/12))</f>
        <v>0</v>
      </c>
      <c r="N100" s="485">
        <f t="shared" si="13"/>
        <v>0</v>
      </c>
      <c r="O100" s="254">
        <f t="shared" si="14"/>
        <v>0</v>
      </c>
      <c r="P100" s="355">
        <f t="shared" si="19"/>
        <v>0</v>
      </c>
      <c r="Q100" s="32">
        <f t="shared" si="20"/>
        <v>0</v>
      </c>
      <c r="R100" s="12"/>
      <c r="S100" s="391"/>
      <c r="T100" s="1120">
        <f t="shared" si="21"/>
        <v>0</v>
      </c>
      <c r="U100" s="389"/>
      <c r="V100" s="388"/>
      <c r="W100" s="446"/>
      <c r="X100" s="446"/>
      <c r="Y100" s="390"/>
      <c r="Z100" s="101">
        <f t="shared" si="23"/>
        <v>0</v>
      </c>
      <c r="AA100" s="373">
        <f>IF(F100="y",((((W100+X100+Y100+Z100)*T100)*Rates!$C$379))/12,(((W100+X100+Y100+Z100)*T100)/12))</f>
        <v>0</v>
      </c>
      <c r="AB100" s="254">
        <f t="shared" si="24"/>
        <v>0</v>
      </c>
      <c r="AC100" s="33">
        <f t="shared" si="22"/>
        <v>0</v>
      </c>
      <c r="AD100" s="427">
        <f t="shared" si="17"/>
        <v>0</v>
      </c>
      <c r="AE100" s="38">
        <v>91</v>
      </c>
      <c r="AF100" s="387"/>
      <c r="AG100" s="1070"/>
      <c r="AH100" s="387"/>
      <c r="AI100" s="1070"/>
      <c r="AJ100" s="387"/>
      <c r="AK100" s="1070"/>
      <c r="AL100" s="428"/>
      <c r="AM100" s="428"/>
      <c r="AN100" s="623"/>
      <c r="AO100" s="267"/>
      <c r="AP100" s="267"/>
      <c r="AQ100" s="267"/>
      <c r="AR100" s="267"/>
      <c r="AS100" s="267"/>
      <c r="AT100" s="267"/>
      <c r="AU100" s="267"/>
    </row>
    <row r="101" spans="1:47" ht="27" hidden="1" customHeight="1" x14ac:dyDescent="0.2">
      <c r="A101" s="38">
        <v>92</v>
      </c>
      <c r="B101" s="379"/>
      <c r="C101" s="495"/>
      <c r="D101" s="495"/>
      <c r="E101" s="505"/>
      <c r="F101" s="387"/>
      <c r="G101" s="133"/>
      <c r="H101" s="1120">
        <f t="shared" si="18"/>
        <v>0</v>
      </c>
      <c r="I101" s="389"/>
      <c r="J101" s="388"/>
      <c r="K101" s="446"/>
      <c r="L101" s="446"/>
      <c r="M101" s="373">
        <f>IF(F101="y",(((K101+L101)*Rates!$I$362))/12,((K101+L101)/12))</f>
        <v>0</v>
      </c>
      <c r="N101" s="485">
        <f t="shared" si="13"/>
        <v>0</v>
      </c>
      <c r="O101" s="254">
        <f t="shared" si="14"/>
        <v>0</v>
      </c>
      <c r="P101" s="355">
        <f t="shared" si="19"/>
        <v>0</v>
      </c>
      <c r="Q101" s="32">
        <f t="shared" si="20"/>
        <v>0</v>
      </c>
      <c r="R101" s="12"/>
      <c r="S101" s="391"/>
      <c r="T101" s="1120">
        <f t="shared" si="21"/>
        <v>0</v>
      </c>
      <c r="U101" s="389"/>
      <c r="V101" s="388"/>
      <c r="W101" s="446"/>
      <c r="X101" s="446"/>
      <c r="Y101" s="390"/>
      <c r="Z101" s="101">
        <f t="shared" si="23"/>
        <v>0</v>
      </c>
      <c r="AA101" s="373">
        <f>IF(F101="y",((((W101+X101+Y101+Z101)*T101)*Rates!$C$379))/12,(((W101+X101+Y101+Z101)*T101)/12))</f>
        <v>0</v>
      </c>
      <c r="AB101" s="254">
        <f t="shared" si="24"/>
        <v>0</v>
      </c>
      <c r="AC101" s="33">
        <f t="shared" si="22"/>
        <v>0</v>
      </c>
      <c r="AD101" s="427">
        <f t="shared" si="17"/>
        <v>0</v>
      </c>
      <c r="AE101" s="38">
        <v>92</v>
      </c>
      <c r="AF101" s="387"/>
      <c r="AG101" s="1070"/>
      <c r="AH101" s="387"/>
      <c r="AI101" s="1070"/>
      <c r="AJ101" s="387"/>
      <c r="AK101" s="1070"/>
      <c r="AL101" s="428"/>
      <c r="AM101" s="428"/>
      <c r="AN101" s="623"/>
      <c r="AO101" s="267"/>
      <c r="AP101" s="267"/>
      <c r="AQ101" s="267"/>
      <c r="AR101" s="267"/>
      <c r="AS101" s="267"/>
      <c r="AT101" s="267"/>
      <c r="AU101" s="267"/>
    </row>
    <row r="102" spans="1:47" ht="27" hidden="1" customHeight="1" x14ac:dyDescent="0.2">
      <c r="A102" s="38">
        <v>93</v>
      </c>
      <c r="B102" s="379"/>
      <c r="C102" s="495"/>
      <c r="D102" s="495"/>
      <c r="E102" s="505"/>
      <c r="F102" s="387"/>
      <c r="G102" s="133"/>
      <c r="H102" s="1120">
        <f t="shared" si="18"/>
        <v>0</v>
      </c>
      <c r="I102" s="389"/>
      <c r="J102" s="388"/>
      <c r="K102" s="446"/>
      <c r="L102" s="446"/>
      <c r="M102" s="373">
        <f>IF(F102="y",(((K102+L102)*Rates!$I$362))/12,((K102+L102)/12))</f>
        <v>0</v>
      </c>
      <c r="N102" s="485">
        <f t="shared" si="13"/>
        <v>0</v>
      </c>
      <c r="O102" s="254">
        <f t="shared" si="14"/>
        <v>0</v>
      </c>
      <c r="P102" s="355">
        <f t="shared" si="19"/>
        <v>0</v>
      </c>
      <c r="Q102" s="32">
        <f t="shared" si="20"/>
        <v>0</v>
      </c>
      <c r="R102" s="12"/>
      <c r="S102" s="391"/>
      <c r="T102" s="1120">
        <f t="shared" si="21"/>
        <v>0</v>
      </c>
      <c r="U102" s="389"/>
      <c r="V102" s="388"/>
      <c r="W102" s="446"/>
      <c r="X102" s="446"/>
      <c r="Y102" s="390"/>
      <c r="Z102" s="101">
        <f t="shared" si="23"/>
        <v>0</v>
      </c>
      <c r="AA102" s="373">
        <f>IF(F102="y",((((W102+X102+Y102+Z102)*T102)*Rates!$C$379))/12,(((W102+X102+Y102+Z102)*T102)/12))</f>
        <v>0</v>
      </c>
      <c r="AB102" s="254">
        <f t="shared" si="24"/>
        <v>0</v>
      </c>
      <c r="AC102" s="33">
        <f t="shared" si="22"/>
        <v>0</v>
      </c>
      <c r="AD102" s="427">
        <f t="shared" si="17"/>
        <v>0</v>
      </c>
      <c r="AE102" s="38">
        <v>93</v>
      </c>
      <c r="AF102" s="387"/>
      <c r="AG102" s="1070"/>
      <c r="AH102" s="387"/>
      <c r="AI102" s="1070"/>
      <c r="AJ102" s="387"/>
      <c r="AK102" s="1070"/>
      <c r="AL102" s="428"/>
      <c r="AM102" s="428"/>
      <c r="AN102" s="623"/>
      <c r="AO102" s="267"/>
      <c r="AP102" s="267"/>
      <c r="AQ102" s="267"/>
      <c r="AR102" s="267"/>
      <c r="AS102" s="267"/>
      <c r="AT102" s="267"/>
      <c r="AU102" s="267"/>
    </row>
    <row r="103" spans="1:47" ht="27" hidden="1" customHeight="1" x14ac:dyDescent="0.2">
      <c r="A103" s="38">
        <v>94</v>
      </c>
      <c r="B103" s="379"/>
      <c r="C103" s="495"/>
      <c r="D103" s="495"/>
      <c r="E103" s="505"/>
      <c r="F103" s="387"/>
      <c r="G103" s="133"/>
      <c r="H103" s="1120">
        <f t="shared" si="18"/>
        <v>0</v>
      </c>
      <c r="I103" s="389"/>
      <c r="J103" s="388"/>
      <c r="K103" s="446"/>
      <c r="L103" s="446"/>
      <c r="M103" s="373">
        <f>IF(F103="y",(((K103+L103)*Rates!$I$362))/12,((K103+L103)/12))</f>
        <v>0</v>
      </c>
      <c r="N103" s="485">
        <f t="shared" si="13"/>
        <v>0</v>
      </c>
      <c r="O103" s="254">
        <f t="shared" si="14"/>
        <v>0</v>
      </c>
      <c r="P103" s="355">
        <f t="shared" si="19"/>
        <v>0</v>
      </c>
      <c r="Q103" s="32">
        <f t="shared" si="20"/>
        <v>0</v>
      </c>
      <c r="R103" s="12"/>
      <c r="S103" s="391"/>
      <c r="T103" s="1120">
        <f t="shared" si="21"/>
        <v>0</v>
      </c>
      <c r="U103" s="389"/>
      <c r="V103" s="388"/>
      <c r="W103" s="446"/>
      <c r="X103" s="446"/>
      <c r="Y103" s="390"/>
      <c r="Z103" s="101">
        <f t="shared" si="23"/>
        <v>0</v>
      </c>
      <c r="AA103" s="373">
        <f>IF(F103="y",((((W103+X103+Y103+Z103)*T103)*Rates!$C$379))/12,(((W103+X103+Y103+Z103)*T103)/12))</f>
        <v>0</v>
      </c>
      <c r="AB103" s="254">
        <f t="shared" si="24"/>
        <v>0</v>
      </c>
      <c r="AC103" s="33">
        <f t="shared" si="22"/>
        <v>0</v>
      </c>
      <c r="AD103" s="427">
        <f t="shared" si="17"/>
        <v>0</v>
      </c>
      <c r="AE103" s="38">
        <v>94</v>
      </c>
      <c r="AF103" s="387"/>
      <c r="AG103" s="1070"/>
      <c r="AH103" s="387"/>
      <c r="AI103" s="1070"/>
      <c r="AJ103" s="387"/>
      <c r="AK103" s="1070"/>
      <c r="AL103" s="428"/>
      <c r="AM103" s="428"/>
      <c r="AN103" s="623"/>
      <c r="AO103" s="267"/>
      <c r="AP103" s="267"/>
      <c r="AQ103" s="267"/>
      <c r="AR103" s="267"/>
      <c r="AS103" s="267"/>
      <c r="AT103" s="267"/>
      <c r="AU103" s="267"/>
    </row>
    <row r="104" spans="1:47" ht="27" hidden="1" customHeight="1" x14ac:dyDescent="0.2">
      <c r="A104" s="38">
        <v>95</v>
      </c>
      <c r="B104" s="379"/>
      <c r="C104" s="495"/>
      <c r="D104" s="495"/>
      <c r="E104" s="505"/>
      <c r="F104" s="387"/>
      <c r="G104" s="133"/>
      <c r="H104" s="1120">
        <f t="shared" si="18"/>
        <v>0</v>
      </c>
      <c r="I104" s="389"/>
      <c r="J104" s="388"/>
      <c r="K104" s="446"/>
      <c r="L104" s="446"/>
      <c r="M104" s="373">
        <f>IF(F104="y",(((K104+L104)*Rates!$I$362))/12,((K104+L104)/12))</f>
        <v>0</v>
      </c>
      <c r="N104" s="485">
        <f t="shared" si="13"/>
        <v>0</v>
      </c>
      <c r="O104" s="254">
        <f t="shared" si="14"/>
        <v>0</v>
      </c>
      <c r="P104" s="355">
        <f t="shared" si="19"/>
        <v>0</v>
      </c>
      <c r="Q104" s="32">
        <f t="shared" si="20"/>
        <v>0</v>
      </c>
      <c r="R104" s="12"/>
      <c r="S104" s="391"/>
      <c r="T104" s="1120">
        <f t="shared" si="21"/>
        <v>0</v>
      </c>
      <c r="U104" s="389"/>
      <c r="V104" s="388"/>
      <c r="W104" s="446"/>
      <c r="X104" s="446"/>
      <c r="Y104" s="390"/>
      <c r="Z104" s="101">
        <f t="shared" si="23"/>
        <v>0</v>
      </c>
      <c r="AA104" s="373">
        <f>IF(F104="y",((((W104+X104+Y104+Z104)*T104)*Rates!$C$379))/12,(((W104+X104+Y104+Z104)*T104)/12))</f>
        <v>0</v>
      </c>
      <c r="AB104" s="254">
        <f t="shared" si="24"/>
        <v>0</v>
      </c>
      <c r="AC104" s="33">
        <f t="shared" si="22"/>
        <v>0</v>
      </c>
      <c r="AD104" s="427">
        <f t="shared" si="17"/>
        <v>0</v>
      </c>
      <c r="AE104" s="38">
        <v>95</v>
      </c>
      <c r="AF104" s="387"/>
      <c r="AG104" s="1070"/>
      <c r="AH104" s="387"/>
      <c r="AI104" s="1070"/>
      <c r="AJ104" s="387"/>
      <c r="AK104" s="1070"/>
      <c r="AL104" s="428"/>
      <c r="AM104" s="428"/>
      <c r="AN104" s="623"/>
      <c r="AO104" s="267"/>
      <c r="AP104" s="267"/>
      <c r="AQ104" s="267"/>
      <c r="AR104" s="267"/>
      <c r="AS104" s="267"/>
      <c r="AT104" s="267"/>
      <c r="AU104" s="267"/>
    </row>
    <row r="105" spans="1:47" ht="27" hidden="1" customHeight="1" x14ac:dyDescent="0.2">
      <c r="A105" s="38">
        <v>96</v>
      </c>
      <c r="B105" s="379"/>
      <c r="C105" s="495"/>
      <c r="D105" s="495"/>
      <c r="E105" s="505"/>
      <c r="F105" s="387"/>
      <c r="G105" s="133"/>
      <c r="H105" s="1120">
        <f t="shared" si="18"/>
        <v>0</v>
      </c>
      <c r="I105" s="389"/>
      <c r="J105" s="388"/>
      <c r="K105" s="446"/>
      <c r="L105" s="446"/>
      <c r="M105" s="373">
        <f>IF(F105="y",(((K105+L105)*Rates!$I$362))/12,((K105+L105)/12))</f>
        <v>0</v>
      </c>
      <c r="N105" s="485">
        <f t="shared" si="13"/>
        <v>0</v>
      </c>
      <c r="O105" s="254">
        <f t="shared" si="14"/>
        <v>0</v>
      </c>
      <c r="P105" s="355">
        <f t="shared" si="19"/>
        <v>0</v>
      </c>
      <c r="Q105" s="32">
        <f t="shared" si="20"/>
        <v>0</v>
      </c>
      <c r="R105" s="12"/>
      <c r="S105" s="391"/>
      <c r="T105" s="1120">
        <f t="shared" si="21"/>
        <v>0</v>
      </c>
      <c r="U105" s="389"/>
      <c r="V105" s="388"/>
      <c r="W105" s="446"/>
      <c r="X105" s="446"/>
      <c r="Y105" s="390"/>
      <c r="Z105" s="101">
        <f t="shared" si="23"/>
        <v>0</v>
      </c>
      <c r="AA105" s="373">
        <f>IF(F105="y",((((W105+X105+Y105+Z105)*T105)*Rates!$C$379))/12,(((W105+X105+Y105+Z105)*T105)/12))</f>
        <v>0</v>
      </c>
      <c r="AB105" s="254">
        <f t="shared" si="24"/>
        <v>0</v>
      </c>
      <c r="AC105" s="33">
        <f t="shared" si="22"/>
        <v>0</v>
      </c>
      <c r="AD105" s="427">
        <f t="shared" si="17"/>
        <v>0</v>
      </c>
      <c r="AE105" s="38">
        <v>96</v>
      </c>
      <c r="AF105" s="387"/>
      <c r="AG105" s="1070"/>
      <c r="AH105" s="387"/>
      <c r="AI105" s="1070"/>
      <c r="AJ105" s="387"/>
      <c r="AK105" s="1070"/>
      <c r="AL105" s="428"/>
      <c r="AM105" s="428"/>
      <c r="AN105" s="623"/>
      <c r="AO105" s="267"/>
      <c r="AP105" s="267"/>
      <c r="AQ105" s="267"/>
      <c r="AR105" s="267"/>
      <c r="AS105" s="267"/>
      <c r="AT105" s="267"/>
      <c r="AU105" s="267"/>
    </row>
    <row r="106" spans="1:47" ht="27" hidden="1" customHeight="1" x14ac:dyDescent="0.2">
      <c r="A106" s="38">
        <v>97</v>
      </c>
      <c r="B106" s="379"/>
      <c r="C106" s="495"/>
      <c r="D106" s="495"/>
      <c r="E106" s="505"/>
      <c r="F106" s="387"/>
      <c r="G106" s="133"/>
      <c r="H106" s="1120">
        <f t="shared" si="18"/>
        <v>0</v>
      </c>
      <c r="I106" s="389"/>
      <c r="J106" s="388"/>
      <c r="K106" s="446"/>
      <c r="L106" s="446"/>
      <c r="M106" s="373">
        <f>IF(F106="y",(((K106+L106)*Rates!$I$362))/12,((K106+L106)/12))</f>
        <v>0</v>
      </c>
      <c r="N106" s="485">
        <f>M106*J106*H106</f>
        <v>0</v>
      </c>
      <c r="O106" s="254">
        <f t="shared" si="14"/>
        <v>0</v>
      </c>
      <c r="P106" s="355">
        <f t="shared" si="19"/>
        <v>0</v>
      </c>
      <c r="Q106" s="32">
        <f t="shared" si="20"/>
        <v>0</v>
      </c>
      <c r="R106" s="12"/>
      <c r="S106" s="391"/>
      <c r="T106" s="1120">
        <f t="shared" si="21"/>
        <v>0</v>
      </c>
      <c r="U106" s="389"/>
      <c r="V106" s="388"/>
      <c r="W106" s="446"/>
      <c r="X106" s="446"/>
      <c r="Y106" s="390"/>
      <c r="Z106" s="101">
        <f t="shared" si="23"/>
        <v>0</v>
      </c>
      <c r="AA106" s="373">
        <f>IF(F106="y",((((W106+X106+Y106+Z106)*T106)*Rates!$C$379))/12,(((W106+X106+Y106+Z106)*T106)/12))</f>
        <v>0</v>
      </c>
      <c r="AB106" s="254">
        <f t="shared" si="24"/>
        <v>0</v>
      </c>
      <c r="AC106" s="33">
        <f t="shared" si="22"/>
        <v>0</v>
      </c>
      <c r="AD106" s="427">
        <f t="shared" si="17"/>
        <v>0</v>
      </c>
      <c r="AE106" s="38">
        <v>97</v>
      </c>
      <c r="AF106" s="387"/>
      <c r="AG106" s="1070"/>
      <c r="AH106" s="387"/>
      <c r="AI106" s="1070"/>
      <c r="AJ106" s="387"/>
      <c r="AK106" s="1070"/>
      <c r="AL106" s="428"/>
      <c r="AM106" s="428"/>
      <c r="AN106" s="623"/>
      <c r="AO106" s="267"/>
      <c r="AP106" s="267"/>
      <c r="AQ106" s="267"/>
      <c r="AR106" s="267"/>
      <c r="AS106" s="267"/>
      <c r="AT106" s="267"/>
      <c r="AU106" s="267"/>
    </row>
    <row r="107" spans="1:47" ht="27" hidden="1" customHeight="1" x14ac:dyDescent="0.2">
      <c r="A107" s="38">
        <v>98</v>
      </c>
      <c r="B107" s="379"/>
      <c r="C107" s="495"/>
      <c r="D107" s="495"/>
      <c r="E107" s="505"/>
      <c r="F107" s="387"/>
      <c r="G107" s="133"/>
      <c r="H107" s="1120">
        <f t="shared" si="18"/>
        <v>0</v>
      </c>
      <c r="I107" s="389"/>
      <c r="J107" s="388"/>
      <c r="K107" s="446"/>
      <c r="L107" s="446"/>
      <c r="M107" s="373">
        <f>IF(F107="y",(((K107+L107)*Rates!$I$362))/12,((K107+L107)/12))</f>
        <v>0</v>
      </c>
      <c r="N107" s="485">
        <f>M107*J107*H107</f>
        <v>0</v>
      </c>
      <c r="O107" s="254">
        <f t="shared" si="14"/>
        <v>0</v>
      </c>
      <c r="P107" s="355">
        <f t="shared" si="19"/>
        <v>0</v>
      </c>
      <c r="Q107" s="32">
        <f t="shared" si="20"/>
        <v>0</v>
      </c>
      <c r="R107" s="12"/>
      <c r="S107" s="391"/>
      <c r="T107" s="1120">
        <f t="shared" si="21"/>
        <v>0</v>
      </c>
      <c r="U107" s="389"/>
      <c r="V107" s="388"/>
      <c r="W107" s="446"/>
      <c r="X107" s="446"/>
      <c r="Y107" s="390"/>
      <c r="Z107" s="101">
        <f t="shared" si="23"/>
        <v>0</v>
      </c>
      <c r="AA107" s="373">
        <f>IF(F107="y",((((W107+X107+Y107+Z107)*T107)*Rates!$C$379))/12,(((W107+X107+Y107+Z107)*T107)/12))</f>
        <v>0</v>
      </c>
      <c r="AB107" s="254">
        <f t="shared" si="24"/>
        <v>0</v>
      </c>
      <c r="AC107" s="33">
        <f t="shared" si="22"/>
        <v>0</v>
      </c>
      <c r="AD107" s="427">
        <f t="shared" si="17"/>
        <v>0</v>
      </c>
      <c r="AE107" s="38">
        <v>98</v>
      </c>
      <c r="AF107" s="387"/>
      <c r="AG107" s="1070"/>
      <c r="AH107" s="387"/>
      <c r="AI107" s="1070"/>
      <c r="AJ107" s="387"/>
      <c r="AK107" s="1070"/>
      <c r="AL107" s="428"/>
      <c r="AM107" s="428"/>
      <c r="AN107" s="623"/>
      <c r="AO107" s="267"/>
      <c r="AP107" s="267"/>
      <c r="AQ107" s="267"/>
      <c r="AR107" s="267"/>
      <c r="AS107" s="267"/>
      <c r="AT107" s="267"/>
      <c r="AU107" s="267"/>
    </row>
    <row r="108" spans="1:47" ht="27" hidden="1" customHeight="1" x14ac:dyDescent="0.2">
      <c r="A108" s="38">
        <v>99</v>
      </c>
      <c r="B108" s="379"/>
      <c r="C108" s="495"/>
      <c r="D108" s="495"/>
      <c r="E108" s="505"/>
      <c r="F108" s="387"/>
      <c r="G108" s="133"/>
      <c r="H108" s="1120">
        <f t="shared" si="18"/>
        <v>0</v>
      </c>
      <c r="I108" s="389"/>
      <c r="J108" s="388"/>
      <c r="K108" s="446"/>
      <c r="L108" s="446"/>
      <c r="M108" s="373">
        <f>IF(F108="y",(((K108+L108)*Rates!$I$362))/12,((K108+L108)/12))</f>
        <v>0</v>
      </c>
      <c r="N108" s="485">
        <f>M108*J108*H108</f>
        <v>0</v>
      </c>
      <c r="O108" s="254">
        <f t="shared" si="14"/>
        <v>0</v>
      </c>
      <c r="P108" s="355">
        <f t="shared" si="19"/>
        <v>0</v>
      </c>
      <c r="Q108" s="32">
        <f t="shared" si="20"/>
        <v>0</v>
      </c>
      <c r="R108" s="12"/>
      <c r="S108" s="391"/>
      <c r="T108" s="1120">
        <f t="shared" si="21"/>
        <v>0</v>
      </c>
      <c r="U108" s="389"/>
      <c r="V108" s="388"/>
      <c r="W108" s="446"/>
      <c r="X108" s="446"/>
      <c r="Y108" s="390"/>
      <c r="Z108" s="101">
        <f t="shared" si="23"/>
        <v>0</v>
      </c>
      <c r="AA108" s="373">
        <f>IF(F108="y",((((W108+X108+Y108+Z108)*T108)*Rates!$C$379))/12,(((W108+X108+Y108+Z108)*T108)/12))</f>
        <v>0</v>
      </c>
      <c r="AB108" s="254">
        <f t="shared" si="24"/>
        <v>0</v>
      </c>
      <c r="AC108" s="33">
        <f t="shared" si="22"/>
        <v>0</v>
      </c>
      <c r="AD108" s="427">
        <f t="shared" si="17"/>
        <v>0</v>
      </c>
      <c r="AE108" s="38">
        <v>99</v>
      </c>
      <c r="AF108" s="387"/>
      <c r="AG108" s="1070"/>
      <c r="AH108" s="387"/>
      <c r="AI108" s="1070"/>
      <c r="AJ108" s="387"/>
      <c r="AK108" s="1070"/>
      <c r="AL108" s="428"/>
      <c r="AM108" s="428"/>
      <c r="AN108" s="623"/>
      <c r="AO108" s="267"/>
      <c r="AP108" s="267"/>
      <c r="AQ108" s="267"/>
      <c r="AR108" s="267"/>
      <c r="AS108" s="267"/>
      <c r="AT108" s="267"/>
      <c r="AU108" s="267"/>
    </row>
    <row r="109" spans="1:47" ht="27" hidden="1" customHeight="1" x14ac:dyDescent="0.2">
      <c r="A109" s="38">
        <v>100</v>
      </c>
      <c r="B109" s="379"/>
      <c r="C109" s="495"/>
      <c r="D109" s="495"/>
      <c r="E109" s="505"/>
      <c r="F109" s="387"/>
      <c r="G109" s="133"/>
      <c r="H109" s="1120">
        <f t="shared" si="18"/>
        <v>0</v>
      </c>
      <c r="I109" s="389"/>
      <c r="J109" s="388"/>
      <c r="K109" s="446"/>
      <c r="L109" s="446"/>
      <c r="M109" s="373">
        <f>IF(F109="y",(((K109+L109)*Rates!$I$362))/12,((K109+L109)/12))</f>
        <v>0</v>
      </c>
      <c r="N109" s="485">
        <f>M109*J109*H109</f>
        <v>0</v>
      </c>
      <c r="O109" s="254">
        <f t="shared" si="14"/>
        <v>0</v>
      </c>
      <c r="P109" s="355">
        <f t="shared" si="19"/>
        <v>0</v>
      </c>
      <c r="Q109" s="32">
        <f t="shared" si="20"/>
        <v>0</v>
      </c>
      <c r="R109" s="12"/>
      <c r="S109" s="391"/>
      <c r="T109" s="1120">
        <f t="shared" si="21"/>
        <v>0</v>
      </c>
      <c r="U109" s="389"/>
      <c r="V109" s="388"/>
      <c r="W109" s="446"/>
      <c r="X109" s="446"/>
      <c r="Y109" s="390"/>
      <c r="Z109" s="101">
        <f t="shared" si="23"/>
        <v>0</v>
      </c>
      <c r="AA109" s="373">
        <f>IF(F109="y",((((W109+X109+Y109+Z109)*T109)*Rates!$C$379))/12,(((W109+X109+Y109+Z109)*T109)/12))</f>
        <v>0</v>
      </c>
      <c r="AB109" s="254">
        <f t="shared" si="24"/>
        <v>0</v>
      </c>
      <c r="AC109" s="33">
        <f t="shared" si="22"/>
        <v>0</v>
      </c>
      <c r="AD109" s="427">
        <f t="shared" si="17"/>
        <v>0</v>
      </c>
      <c r="AE109" s="38">
        <v>100</v>
      </c>
      <c r="AF109" s="387"/>
      <c r="AG109" s="1070"/>
      <c r="AH109" s="387"/>
      <c r="AI109" s="1070"/>
      <c r="AJ109" s="387"/>
      <c r="AK109" s="1070"/>
      <c r="AL109" s="428"/>
      <c r="AM109" s="428"/>
      <c r="AN109" s="623"/>
      <c r="AO109" s="267"/>
      <c r="AP109" s="267"/>
      <c r="AQ109" s="267"/>
      <c r="AR109" s="267"/>
      <c r="AS109" s="267"/>
      <c r="AT109" s="267"/>
      <c r="AU109" s="267"/>
    </row>
    <row r="110" spans="1:47" x14ac:dyDescent="0.2">
      <c r="A110" s="38"/>
      <c r="B110" s="392" t="s">
        <v>725</v>
      </c>
      <c r="C110" s="393"/>
      <c r="D110" s="393"/>
      <c r="E110" s="506"/>
      <c r="F110" s="387"/>
      <c r="G110" s="133"/>
      <c r="H110" s="378"/>
      <c r="I110" s="378"/>
      <c r="J110" s="376"/>
      <c r="K110" s="376"/>
      <c r="L110" s="376"/>
      <c r="M110" s="376"/>
      <c r="N110" s="483"/>
      <c r="O110" s="376"/>
      <c r="P110" s="376"/>
      <c r="Q110" s="377"/>
      <c r="R110" s="12"/>
      <c r="S110" s="378"/>
      <c r="T110" s="376"/>
      <c r="U110" s="1116"/>
      <c r="V110" s="376"/>
      <c r="W110" s="376"/>
      <c r="X110" s="376"/>
      <c r="Y110" s="376"/>
      <c r="Z110" s="376"/>
      <c r="AA110" s="376"/>
      <c r="AB110" s="376"/>
      <c r="AC110" s="376"/>
      <c r="AD110" s="508"/>
      <c r="AE110" s="38"/>
      <c r="AF110" s="38"/>
      <c r="AG110" s="38"/>
      <c r="AH110" s="38"/>
      <c r="AI110" s="38"/>
      <c r="AJ110" s="38"/>
      <c r="AK110" s="38"/>
      <c r="AL110" s="267"/>
      <c r="AM110" s="267"/>
      <c r="AN110" s="267"/>
      <c r="AO110" s="267"/>
      <c r="AP110" s="267"/>
      <c r="AQ110" s="267"/>
      <c r="AR110" s="267"/>
      <c r="AS110" s="267"/>
      <c r="AT110" s="267"/>
      <c r="AU110" s="267"/>
    </row>
    <row r="111" spans="1:47" ht="26.25" customHeight="1" x14ac:dyDescent="0.2">
      <c r="A111" s="386" t="s">
        <v>648</v>
      </c>
      <c r="B111" s="379"/>
      <c r="C111" s="495"/>
      <c r="D111" s="495"/>
      <c r="E111" s="432"/>
      <c r="F111" s="387"/>
      <c r="G111" s="1052"/>
      <c r="H111" s="432"/>
      <c r="I111" s="432"/>
      <c r="J111" s="433"/>
      <c r="K111" s="436"/>
      <c r="L111" s="435"/>
      <c r="M111" s="373">
        <f>IF(F111="y",(((K111+L111)*Rates!$I$362))/12,((K111+L111)/12))</f>
        <v>0</v>
      </c>
      <c r="N111" s="485">
        <f>M111*J111</f>
        <v>0</v>
      </c>
      <c r="O111" s="254">
        <f>M111*J111</f>
        <v>0</v>
      </c>
      <c r="P111" s="355">
        <f>O111*$P$9</f>
        <v>0</v>
      </c>
      <c r="Q111" s="32">
        <f>SUM(P111)</f>
        <v>0</v>
      </c>
      <c r="R111" s="12"/>
      <c r="S111" s="432"/>
      <c r="T111" s="432"/>
      <c r="U111" s="432"/>
      <c r="V111" s="432"/>
      <c r="W111" s="434"/>
      <c r="X111" s="435"/>
      <c r="Y111" s="430"/>
      <c r="Z111" s="429"/>
      <c r="AA111" s="426">
        <f>IF(F111="y",((X111*Rates!$C$362))/12,(X111/12))</f>
        <v>0</v>
      </c>
      <c r="AB111" s="429">
        <f>AA111*12</f>
        <v>0</v>
      </c>
      <c r="AC111" s="33">
        <f>$AC$9*AB111</f>
        <v>0</v>
      </c>
      <c r="AD111" s="427">
        <f t="shared" ref="AD111:AD116" si="25">SUM(AC111:AC111)</f>
        <v>0</v>
      </c>
      <c r="AE111" s="38"/>
      <c r="AF111" s="384" t="s">
        <v>647</v>
      </c>
      <c r="AG111" s="385"/>
      <c r="AH111" s="1309"/>
      <c r="AI111" s="1310"/>
      <c r="AJ111" s="1310"/>
      <c r="AK111" s="1311"/>
      <c r="AL111" s="1047"/>
      <c r="AM111" s="1047"/>
      <c r="AN111" s="1047"/>
      <c r="AO111" s="267"/>
      <c r="AP111" s="267"/>
      <c r="AQ111" s="267"/>
      <c r="AR111" s="267"/>
      <c r="AS111" s="267"/>
      <c r="AT111" s="267"/>
      <c r="AU111" s="267"/>
    </row>
    <row r="112" spans="1:47" ht="26.25" customHeight="1" x14ac:dyDescent="0.2">
      <c r="A112" s="386" t="s">
        <v>649</v>
      </c>
      <c r="B112" s="379"/>
      <c r="C112" s="495"/>
      <c r="D112" s="495"/>
      <c r="E112" s="432"/>
      <c r="F112" s="387"/>
      <c r="G112" s="1052"/>
      <c r="H112" s="432"/>
      <c r="I112" s="432"/>
      <c r="J112" s="433"/>
      <c r="K112" s="436"/>
      <c r="L112" s="435"/>
      <c r="M112" s="373">
        <f>IF(F112="y",(((K112+L112)*Rates!$I$362))/12,((K112+L112)/12))</f>
        <v>0</v>
      </c>
      <c r="N112" s="485">
        <f>M112*J112</f>
        <v>0</v>
      </c>
      <c r="O112" s="254">
        <f>M112*J112</f>
        <v>0</v>
      </c>
      <c r="P112" s="355">
        <f>O112*$P$9</f>
        <v>0</v>
      </c>
      <c r="Q112" s="32">
        <f>SUM(P112)</f>
        <v>0</v>
      </c>
      <c r="R112" s="12"/>
      <c r="S112" s="432"/>
      <c r="T112" s="432"/>
      <c r="U112" s="432"/>
      <c r="V112" s="432"/>
      <c r="W112" s="434"/>
      <c r="X112" s="435"/>
      <c r="Y112" s="430"/>
      <c r="Z112" s="429"/>
      <c r="AA112" s="426">
        <f>IF(F112="y",((X112*Rates!$C$362))/12,(X112/12))</f>
        <v>0</v>
      </c>
      <c r="AB112" s="429">
        <f>AA112*12</f>
        <v>0</v>
      </c>
      <c r="AC112" s="33">
        <f>$AC$9*AB112</f>
        <v>0</v>
      </c>
      <c r="AD112" s="427">
        <f t="shared" si="25"/>
        <v>0</v>
      </c>
      <c r="AE112" s="38"/>
      <c r="AF112" s="384" t="s">
        <v>647</v>
      </c>
      <c r="AG112" s="385"/>
      <c r="AH112" s="1309"/>
      <c r="AI112" s="1310"/>
      <c r="AJ112" s="1310"/>
      <c r="AK112" s="1311"/>
      <c r="AL112" s="1047"/>
      <c r="AM112" s="1047"/>
      <c r="AN112" s="1047"/>
      <c r="AO112" s="267"/>
      <c r="AP112" s="267"/>
      <c r="AQ112" s="267"/>
      <c r="AR112" s="267"/>
      <c r="AS112" s="267"/>
      <c r="AT112" s="267"/>
      <c r="AU112" s="267"/>
    </row>
    <row r="113" spans="1:54" ht="26.25" customHeight="1" x14ac:dyDescent="0.2">
      <c r="A113" s="386" t="s">
        <v>650</v>
      </c>
      <c r="B113" s="379"/>
      <c r="C113" s="495"/>
      <c r="D113" s="495"/>
      <c r="E113" s="432"/>
      <c r="F113" s="387"/>
      <c r="G113" s="1052"/>
      <c r="H113" s="432"/>
      <c r="I113" s="432"/>
      <c r="J113" s="433"/>
      <c r="K113" s="436"/>
      <c r="L113" s="435"/>
      <c r="M113" s="373">
        <f>IF(F113="y",(((K113+L113)*Rates!$I$362))/12,((K113+L113)/12))</f>
        <v>0</v>
      </c>
      <c r="N113" s="485">
        <f>M113*J113</f>
        <v>0</v>
      </c>
      <c r="O113" s="254">
        <f>M113*J113</f>
        <v>0</v>
      </c>
      <c r="P113" s="355">
        <f>O113*$P$9</f>
        <v>0</v>
      </c>
      <c r="Q113" s="32">
        <f>SUM(P113)</f>
        <v>0</v>
      </c>
      <c r="R113" s="12"/>
      <c r="S113" s="432"/>
      <c r="T113" s="432"/>
      <c r="U113" s="432"/>
      <c r="V113" s="432"/>
      <c r="W113" s="434"/>
      <c r="X113" s="435"/>
      <c r="Y113" s="430"/>
      <c r="Z113" s="429"/>
      <c r="AA113" s="426">
        <f>IF(F113="y",((X113*Rates!$C$362))/12,(X113/12))</f>
        <v>0</v>
      </c>
      <c r="AB113" s="429">
        <f>AA113*12</f>
        <v>0</v>
      </c>
      <c r="AC113" s="33">
        <f>$AC$9*AB113</f>
        <v>0</v>
      </c>
      <c r="AD113" s="427">
        <f t="shared" si="25"/>
        <v>0</v>
      </c>
      <c r="AE113" s="38"/>
      <c r="AF113" s="384" t="s">
        <v>647</v>
      </c>
      <c r="AG113" s="385"/>
      <c r="AH113" s="1309"/>
      <c r="AI113" s="1310"/>
      <c r="AJ113" s="1310"/>
      <c r="AK113" s="1311"/>
      <c r="AL113" s="1047"/>
      <c r="AM113" s="1047"/>
      <c r="AN113" s="1047"/>
      <c r="AO113" s="267"/>
      <c r="AP113" s="267"/>
      <c r="AQ113" s="267"/>
      <c r="AR113" s="267"/>
      <c r="AS113" s="267"/>
      <c r="AT113" s="267"/>
      <c r="AU113" s="267"/>
    </row>
    <row r="114" spans="1:54" ht="26.25" customHeight="1" x14ac:dyDescent="0.2">
      <c r="A114" s="386" t="s">
        <v>651</v>
      </c>
      <c r="B114" s="379"/>
      <c r="C114" s="495"/>
      <c r="D114" s="495"/>
      <c r="E114" s="432"/>
      <c r="F114" s="387"/>
      <c r="G114" s="1052"/>
      <c r="H114" s="432"/>
      <c r="I114" s="432"/>
      <c r="J114" s="433"/>
      <c r="K114" s="436"/>
      <c r="L114" s="435"/>
      <c r="M114" s="373">
        <f>IF(F114="y",(((K114+L114)*Rates!$I$362))/12,((K114+L114)/12))</f>
        <v>0</v>
      </c>
      <c r="N114" s="485">
        <f>M114*J114</f>
        <v>0</v>
      </c>
      <c r="O114" s="254">
        <f>M114*J114</f>
        <v>0</v>
      </c>
      <c r="P114" s="355">
        <f>O114*$P$9</f>
        <v>0</v>
      </c>
      <c r="Q114" s="32">
        <f>SUM(P114)</f>
        <v>0</v>
      </c>
      <c r="R114" s="12"/>
      <c r="S114" s="432"/>
      <c r="T114" s="432"/>
      <c r="U114" s="432"/>
      <c r="V114" s="432"/>
      <c r="W114" s="434"/>
      <c r="X114" s="435"/>
      <c r="Y114" s="430"/>
      <c r="Z114" s="429"/>
      <c r="AA114" s="426">
        <f>IF(F114="y",((X114*Rates!$C$362))/12,(X114/12))</f>
        <v>0</v>
      </c>
      <c r="AB114" s="429">
        <f>AA114*12</f>
        <v>0</v>
      </c>
      <c r="AC114" s="33">
        <f>$AC$9*AB114</f>
        <v>0</v>
      </c>
      <c r="AD114" s="427">
        <f t="shared" si="25"/>
        <v>0</v>
      </c>
      <c r="AE114" s="38"/>
      <c r="AF114" s="384" t="s">
        <v>647</v>
      </c>
      <c r="AG114" s="385"/>
      <c r="AH114" s="1309"/>
      <c r="AI114" s="1310"/>
      <c r="AJ114" s="1310"/>
      <c r="AK114" s="1311"/>
      <c r="AL114" s="1047"/>
      <c r="AM114" s="1047"/>
      <c r="AN114" s="1047"/>
      <c r="AO114" s="267"/>
      <c r="AP114" s="267"/>
      <c r="AQ114" s="267"/>
      <c r="AR114" s="267"/>
      <c r="AS114" s="267"/>
      <c r="AT114" s="267"/>
      <c r="AU114" s="267"/>
    </row>
    <row r="115" spans="1:54" ht="26.25" customHeight="1" x14ac:dyDescent="0.2">
      <c r="A115" s="386" t="s">
        <v>652</v>
      </c>
      <c r="B115" s="379"/>
      <c r="C115" s="495"/>
      <c r="D115" s="495"/>
      <c r="E115" s="432"/>
      <c r="F115" s="387"/>
      <c r="G115" s="1052"/>
      <c r="H115" s="432"/>
      <c r="I115" s="432"/>
      <c r="J115" s="433"/>
      <c r="K115" s="436"/>
      <c r="L115" s="435"/>
      <c r="M115" s="373">
        <f>IF(F115="y",(((K115+L115)*Rates!$I$362))/12,((K115+L115)/12))</f>
        <v>0</v>
      </c>
      <c r="N115" s="485">
        <f>M115*J115</f>
        <v>0</v>
      </c>
      <c r="O115" s="254">
        <f>M115*J115</f>
        <v>0</v>
      </c>
      <c r="P115" s="355">
        <f>O115*$P$9</f>
        <v>0</v>
      </c>
      <c r="Q115" s="32">
        <f>SUM(P115)</f>
        <v>0</v>
      </c>
      <c r="R115" s="12"/>
      <c r="S115" s="432"/>
      <c r="T115" s="432"/>
      <c r="U115" s="432"/>
      <c r="V115" s="432"/>
      <c r="W115" s="434"/>
      <c r="X115" s="435"/>
      <c r="Y115" s="430"/>
      <c r="Z115" s="429"/>
      <c r="AA115" s="426">
        <f>IF(F115="y",((X115*Rates!$C$362))/12,(X115/12))</f>
        <v>0</v>
      </c>
      <c r="AB115" s="429">
        <f>AA115*12</f>
        <v>0</v>
      </c>
      <c r="AC115" s="33">
        <f>$AC$9*AB115</f>
        <v>0</v>
      </c>
      <c r="AD115" s="427">
        <f t="shared" si="25"/>
        <v>0</v>
      </c>
      <c r="AE115" s="38"/>
      <c r="AF115" s="384" t="s">
        <v>647</v>
      </c>
      <c r="AG115" s="385"/>
      <c r="AH115" s="1309"/>
      <c r="AI115" s="1310"/>
      <c r="AJ115" s="1310"/>
      <c r="AK115" s="1311"/>
      <c r="AL115" s="1047"/>
      <c r="AM115" s="1047"/>
      <c r="AN115" s="1047"/>
      <c r="AO115" s="267"/>
      <c r="AP115" s="267"/>
      <c r="AQ115" s="267"/>
      <c r="AR115" s="267"/>
      <c r="AS115" s="267"/>
      <c r="AT115" s="267"/>
      <c r="AU115" s="267"/>
    </row>
    <row r="116" spans="1:54" ht="29.25" customHeight="1" x14ac:dyDescent="0.2">
      <c r="A116" s="38" t="s">
        <v>249</v>
      </c>
      <c r="B116" s="137"/>
      <c r="C116" s="1051" t="s">
        <v>1205</v>
      </c>
      <c r="D116" s="495"/>
      <c r="E116" s="432"/>
      <c r="F116" s="34"/>
      <c r="G116" s="133"/>
      <c r="H116" s="432"/>
      <c r="I116" s="432"/>
      <c r="J116" s="432"/>
      <c r="K116" s="436"/>
      <c r="L116" s="436"/>
      <c r="M116" s="436"/>
      <c r="N116" s="484"/>
      <c r="O116" s="438"/>
      <c r="P116" s="429">
        <f>O116*Rates!G367</f>
        <v>0</v>
      </c>
      <c r="Q116" s="437">
        <f>P116</f>
        <v>0</v>
      </c>
      <c r="R116" s="12"/>
      <c r="S116" s="432"/>
      <c r="T116" s="432"/>
      <c r="U116" s="432"/>
      <c r="V116" s="432"/>
      <c r="W116" s="431"/>
      <c r="X116" s="436"/>
      <c r="Y116" s="430"/>
      <c r="Z116" s="430"/>
      <c r="AA116" s="430"/>
      <c r="AB116" s="429">
        <f>W116</f>
        <v>0</v>
      </c>
      <c r="AC116" s="430">
        <f>AB116*Rates!$G$384</f>
        <v>0</v>
      </c>
      <c r="AD116" s="427">
        <f t="shared" si="25"/>
        <v>0</v>
      </c>
      <c r="AE116" s="38"/>
      <c r="AF116" s="442" t="s">
        <v>642</v>
      </c>
      <c r="AG116" s="443"/>
      <c r="AH116" s="1309"/>
      <c r="AI116" s="1310"/>
      <c r="AJ116" s="1310"/>
      <c r="AK116" s="1311"/>
      <c r="AL116" s="805"/>
      <c r="AM116" s="805"/>
      <c r="AN116" s="805"/>
      <c r="AO116" s="267"/>
      <c r="AP116" s="267"/>
      <c r="AQ116" s="267"/>
      <c r="AR116" s="267"/>
      <c r="AS116" s="267"/>
      <c r="AT116" s="267"/>
      <c r="AU116" s="267"/>
    </row>
    <row r="117" spans="1:54" ht="26.25" customHeight="1" x14ac:dyDescent="0.2">
      <c r="A117" s="38"/>
      <c r="B117" s="137"/>
      <c r="C117" s="136" t="s">
        <v>1068</v>
      </c>
      <c r="D117" s="495"/>
      <c r="E117" s="432"/>
      <c r="F117" s="136"/>
      <c r="G117" s="133"/>
      <c r="H117" s="432"/>
      <c r="I117" s="432"/>
      <c r="J117" s="432"/>
      <c r="K117" s="436"/>
      <c r="L117" s="436"/>
      <c r="M117" s="436"/>
      <c r="N117" s="484"/>
      <c r="O117" s="438"/>
      <c r="P117" s="439">
        <f>O117*Rates!G368</f>
        <v>0</v>
      </c>
      <c r="Q117" s="429">
        <f>O117*Rates!C367</f>
        <v>0</v>
      </c>
      <c r="R117" s="12"/>
      <c r="S117" s="432"/>
      <c r="T117" s="432"/>
      <c r="U117" s="432"/>
      <c r="V117" s="432"/>
      <c r="W117" s="432"/>
      <c r="X117" s="432"/>
      <c r="Y117" s="434"/>
      <c r="Z117" s="434"/>
      <c r="AA117" s="434"/>
      <c r="AB117" s="429"/>
      <c r="AC117" s="430"/>
      <c r="AD117" s="430"/>
      <c r="AE117" s="38"/>
      <c r="AF117" s="38"/>
      <c r="AG117" s="38"/>
      <c r="AH117" s="38"/>
      <c r="AI117" s="38"/>
      <c r="AJ117" s="38"/>
      <c r="AK117" s="38"/>
      <c r="AL117" s="267"/>
      <c r="AM117" s="267"/>
      <c r="AN117" s="267"/>
      <c r="AO117" s="267"/>
      <c r="AP117" s="267"/>
      <c r="AQ117" s="267"/>
      <c r="AR117" s="267"/>
      <c r="AS117" s="267"/>
      <c r="AT117" s="267"/>
      <c r="AU117" s="267"/>
    </row>
    <row r="118" spans="1:54" ht="26.25" customHeight="1" x14ac:dyDescent="0.2">
      <c r="A118" s="38"/>
      <c r="B118" s="137"/>
      <c r="C118" s="136" t="s">
        <v>1069</v>
      </c>
      <c r="D118" s="495"/>
      <c r="E118" s="432"/>
      <c r="F118" s="136"/>
      <c r="G118" s="133"/>
      <c r="H118" s="432"/>
      <c r="I118" s="432"/>
      <c r="J118" s="432"/>
      <c r="K118" s="436"/>
      <c r="L118" s="436"/>
      <c r="M118" s="436"/>
      <c r="N118" s="484"/>
      <c r="O118" s="438"/>
      <c r="P118" s="439"/>
      <c r="Q118" s="438"/>
      <c r="R118" s="12"/>
      <c r="S118" s="432"/>
      <c r="T118" s="432"/>
      <c r="U118" s="432"/>
      <c r="V118" s="432"/>
      <c r="W118" s="434"/>
      <c r="X118" s="434"/>
      <c r="Y118" s="429"/>
      <c r="Z118" s="429"/>
      <c r="AA118" s="429"/>
      <c r="AB118" s="429"/>
      <c r="AC118" s="430"/>
      <c r="AD118" s="430"/>
      <c r="AE118" s="38"/>
      <c r="AF118" s="38"/>
      <c r="AG118" s="38"/>
      <c r="AH118" s="38"/>
      <c r="AI118" s="38"/>
      <c r="AJ118" s="38"/>
      <c r="AK118" s="38"/>
      <c r="AL118" s="267"/>
      <c r="AM118" s="267"/>
      <c r="AN118" s="267"/>
      <c r="AO118" s="267"/>
      <c r="AP118" s="267"/>
      <c r="AQ118" s="267"/>
      <c r="AR118" s="267"/>
      <c r="AS118" s="267"/>
      <c r="AT118" s="267"/>
      <c r="AU118" s="267"/>
    </row>
    <row r="119" spans="1:54" ht="26.25" customHeight="1" x14ac:dyDescent="0.2">
      <c r="A119" s="38"/>
      <c r="B119" s="806"/>
      <c r="C119" s="807" t="s">
        <v>1106</v>
      </c>
      <c r="D119" s="808"/>
      <c r="E119" s="809"/>
      <c r="F119" s="807"/>
      <c r="G119" s="133"/>
      <c r="H119" s="809"/>
      <c r="I119" s="809"/>
      <c r="J119" s="809"/>
      <c r="K119" s="810"/>
      <c r="L119" s="810"/>
      <c r="M119" s="810"/>
      <c r="N119" s="810"/>
      <c r="O119" s="811">
        <f>'E1 GRANT'!N21</f>
        <v>0</v>
      </c>
      <c r="P119" s="811"/>
      <c r="Q119" s="812">
        <f>'E1 GRANT'!P21</f>
        <v>0</v>
      </c>
      <c r="R119" s="12"/>
      <c r="S119" s="813"/>
      <c r="T119" s="813"/>
      <c r="U119" s="813"/>
      <c r="V119" s="813"/>
      <c r="W119" s="814"/>
      <c r="X119" s="814"/>
      <c r="Y119" s="815"/>
      <c r="Z119" s="815"/>
      <c r="AA119" s="815"/>
      <c r="AB119" s="815">
        <f>'E1 GRANT'!AA21</f>
        <v>0</v>
      </c>
      <c r="AC119" s="816"/>
      <c r="AD119" s="816">
        <f>'E1 GRANT'!AC21</f>
        <v>0</v>
      </c>
      <c r="AE119" s="38"/>
      <c r="AF119" s="38"/>
      <c r="AG119" s="38"/>
      <c r="AH119" s="38"/>
      <c r="AI119" s="38"/>
      <c r="AJ119" s="38"/>
      <c r="AK119" s="38"/>
      <c r="AL119" s="267"/>
      <c r="AM119" s="267"/>
      <c r="AN119" s="267"/>
      <c r="AO119" s="267"/>
      <c r="AP119" s="267"/>
      <c r="AQ119" s="267"/>
      <c r="AR119" s="267"/>
      <c r="AS119" s="267"/>
      <c r="AT119" s="267"/>
      <c r="AU119" s="267"/>
    </row>
    <row r="120" spans="1:54" ht="26.25" customHeight="1" x14ac:dyDescent="0.2">
      <c r="A120" s="38"/>
      <c r="B120" s="137"/>
      <c r="C120" s="511" t="s">
        <v>1110</v>
      </c>
      <c r="D120" s="495"/>
      <c r="E120" s="432"/>
      <c r="F120" s="136"/>
      <c r="G120" s="133"/>
      <c r="H120" s="432"/>
      <c r="I120" s="432"/>
      <c r="J120" s="432"/>
      <c r="K120" s="436"/>
      <c r="L120" s="436"/>
      <c r="M120" s="429"/>
      <c r="N120" s="479"/>
      <c r="O120" s="438"/>
      <c r="P120" s="429"/>
      <c r="Q120" s="438"/>
      <c r="R120" s="12"/>
      <c r="S120" s="432"/>
      <c r="T120" s="432"/>
      <c r="U120" s="432"/>
      <c r="V120" s="432"/>
      <c r="W120" s="434"/>
      <c r="X120" s="434"/>
      <c r="Y120" s="434"/>
      <c r="Z120" s="434"/>
      <c r="AA120" s="434"/>
      <c r="AB120" s="429"/>
      <c r="AC120" s="430"/>
      <c r="AD120" s="430"/>
      <c r="AE120" s="38"/>
      <c r="AF120" s="38"/>
      <c r="AG120" s="38"/>
      <c r="AH120" s="38"/>
      <c r="AI120" s="38"/>
      <c r="AJ120" s="38"/>
      <c r="AK120" s="38"/>
      <c r="AL120" s="267"/>
      <c r="AM120" s="267"/>
      <c r="AN120" s="267"/>
      <c r="AO120" s="267"/>
      <c r="AP120" s="267"/>
      <c r="AQ120" s="267"/>
      <c r="AR120" s="267"/>
      <c r="AS120" s="267"/>
      <c r="AT120" s="267"/>
      <c r="AU120" s="267"/>
    </row>
    <row r="121" spans="1:54" x14ac:dyDescent="0.2">
      <c r="A121" s="38"/>
      <c r="B121" s="38"/>
      <c r="C121" s="38"/>
      <c r="D121" s="38"/>
      <c r="F121" s="38"/>
      <c r="G121" s="131"/>
      <c r="H121" s="138"/>
      <c r="I121" s="138"/>
      <c r="J121" s="138"/>
      <c r="K121" s="138"/>
      <c r="L121" s="138"/>
      <c r="M121" s="138"/>
      <c r="N121" s="138"/>
      <c r="O121" s="138"/>
      <c r="P121" s="138"/>
      <c r="Q121" s="138"/>
      <c r="R121" s="138"/>
      <c r="S121" s="38"/>
      <c r="T121" s="38"/>
      <c r="U121" s="38"/>
      <c r="V121" s="38"/>
      <c r="W121" s="38"/>
      <c r="X121" s="38"/>
      <c r="Y121" s="38"/>
      <c r="Z121" s="38"/>
      <c r="AA121" s="38"/>
      <c r="AB121" s="38"/>
      <c r="AC121" s="38"/>
      <c r="AD121" s="38"/>
      <c r="AE121" s="38"/>
      <c r="AF121" s="38"/>
      <c r="AG121" s="38"/>
      <c r="AH121" s="38"/>
      <c r="AI121" s="38"/>
      <c r="AJ121" s="38"/>
      <c r="AK121" s="38"/>
    </row>
    <row r="122" spans="1:54" ht="25.5" customHeight="1" x14ac:dyDescent="0.2">
      <c r="A122" s="38"/>
      <c r="B122" s="38" t="s">
        <v>655</v>
      </c>
      <c r="C122" s="1069" t="s">
        <v>1240</v>
      </c>
      <c r="D122" s="38"/>
      <c r="F122" s="55"/>
      <c r="G122" s="131"/>
      <c r="H122" s="397">
        <f>SUM(H10:H120)-H119</f>
        <v>0</v>
      </c>
      <c r="I122" s="397">
        <f>SUM(I10:I120)-I119</f>
        <v>0</v>
      </c>
      <c r="J122" s="38"/>
      <c r="K122" s="139">
        <f>SUM(K10:K120)</f>
        <v>0</v>
      </c>
      <c r="L122" s="139">
        <f>SUM(L10:L120)</f>
        <v>0</v>
      </c>
      <c r="M122" s="38"/>
      <c r="N122" s="38"/>
      <c r="O122" s="398">
        <f>SUM(O10:O120)</f>
        <v>0</v>
      </c>
      <c r="P122" s="138"/>
      <c r="Q122" s="398">
        <f>ROUND(SUM(Q10:Q120),0)</f>
        <v>0</v>
      </c>
      <c r="R122" s="38"/>
      <c r="S122" s="39"/>
      <c r="T122" s="399">
        <f>ROUND(SUM(T10:T120),2)-T119</f>
        <v>0</v>
      </c>
      <c r="U122" s="399">
        <f>SUM(U10:U120)-U119</f>
        <v>0</v>
      </c>
      <c r="V122" s="38"/>
      <c r="W122" s="140"/>
      <c r="X122" s="140"/>
      <c r="Y122" s="140"/>
      <c r="Z122" s="38"/>
      <c r="AA122" s="38"/>
      <c r="AB122" s="398">
        <f>SUM(AB10:AB120)</f>
        <v>0</v>
      </c>
      <c r="AC122" s="38"/>
      <c r="AD122" s="398">
        <f>ROUND(SUM(AD10:AD120),0)</f>
        <v>0</v>
      </c>
      <c r="AE122" s="38"/>
      <c r="AF122" s="38"/>
      <c r="AG122" s="38"/>
      <c r="AH122" s="38"/>
      <c r="AI122" s="38"/>
      <c r="AJ122" s="38"/>
      <c r="AK122" s="38"/>
    </row>
    <row r="123" spans="1:54" x14ac:dyDescent="0.2">
      <c r="A123" s="38"/>
      <c r="B123" s="38"/>
      <c r="C123" s="38"/>
      <c r="D123" s="38"/>
      <c r="F123" s="38"/>
      <c r="G123" s="131"/>
      <c r="H123" s="39" t="s">
        <v>243</v>
      </c>
      <c r="I123" s="39" t="s">
        <v>243</v>
      </c>
      <c r="J123" s="38"/>
      <c r="K123" s="38"/>
      <c r="L123" s="38"/>
      <c r="M123" s="38"/>
      <c r="N123" s="38"/>
      <c r="O123" s="56" t="s">
        <v>17</v>
      </c>
      <c r="P123" s="138"/>
      <c r="Q123" s="56" t="s">
        <v>18</v>
      </c>
      <c r="R123" s="38"/>
      <c r="S123" s="39"/>
      <c r="T123" s="39" t="s">
        <v>243</v>
      </c>
      <c r="U123" s="39" t="s">
        <v>243</v>
      </c>
      <c r="V123" s="38"/>
      <c r="W123" s="39"/>
      <c r="X123" s="39"/>
      <c r="Y123" s="39"/>
      <c r="Z123" s="38"/>
      <c r="AA123" s="38"/>
      <c r="AB123" s="56" t="s">
        <v>534</v>
      </c>
      <c r="AC123" s="38"/>
      <c r="AD123" s="56" t="s">
        <v>18</v>
      </c>
      <c r="AE123" s="38"/>
      <c r="AF123" s="38"/>
      <c r="AG123" s="38"/>
      <c r="AH123" s="38"/>
      <c r="AI123" s="38"/>
      <c r="AJ123" s="38"/>
      <c r="AK123" s="38"/>
    </row>
    <row r="124" spans="1:54" s="488" customFormat="1" ht="12.75" x14ac:dyDescent="0.2">
      <c r="A124" s="487"/>
      <c r="B124" s="1304" t="str">
        <f>'SUMMARY FORM'!N15&amp;" INSTRUCTIONS HIGHLIGHT:  Professional Merit"</f>
        <v>FY21 INSTRUCTIONS HIGHLIGHT:  Professional Merit</v>
      </c>
      <c r="C124" s="1304"/>
      <c r="D124" s="1304"/>
      <c r="E124" s="1304"/>
      <c r="F124" s="1304"/>
      <c r="G124" s="487"/>
      <c r="H124" s="487"/>
      <c r="I124" s="487"/>
      <c r="J124" s="487"/>
      <c r="K124" s="487"/>
      <c r="L124" s="489"/>
      <c r="M124" s="487"/>
      <c r="N124" s="487"/>
      <c r="O124" s="487"/>
      <c r="P124" s="487"/>
      <c r="Q124" s="487"/>
      <c r="R124" s="487"/>
      <c r="S124" s="487"/>
      <c r="T124" s="487"/>
      <c r="U124" s="487"/>
      <c r="V124" s="487"/>
      <c r="W124" s="487"/>
      <c r="X124" s="487"/>
      <c r="Y124" s="487"/>
      <c r="Z124" s="487"/>
      <c r="AA124" s="487"/>
      <c r="AB124" s="487"/>
      <c r="AC124" s="487"/>
      <c r="AD124" s="487"/>
      <c r="AE124" s="487"/>
      <c r="AF124" s="487"/>
      <c r="AG124" s="487"/>
      <c r="AH124" s="487"/>
      <c r="AI124" s="487"/>
      <c r="AJ124" s="487"/>
      <c r="AK124" s="487"/>
      <c r="BA124" s="35"/>
      <c r="BB124" s="35"/>
    </row>
    <row r="125" spans="1:54" s="488" customFormat="1" ht="26.25" customHeight="1" x14ac:dyDescent="0.2">
      <c r="A125" s="487"/>
      <c r="B125" s="1303" t="s">
        <v>3872</v>
      </c>
      <c r="C125" s="1303"/>
      <c r="D125" s="1303"/>
      <c r="E125" s="1303"/>
      <c r="F125" s="1303"/>
      <c r="G125" s="487"/>
      <c r="H125" s="487"/>
      <c r="I125" s="487"/>
      <c r="J125" s="487"/>
      <c r="K125" s="487"/>
      <c r="L125" s="489"/>
      <c r="M125" s="487"/>
      <c r="N125" s="487"/>
      <c r="Q125" s="487"/>
      <c r="R125" s="487"/>
      <c r="S125" s="487"/>
      <c r="T125" s="487"/>
      <c r="U125" s="487"/>
      <c r="V125" s="487"/>
      <c r="W125" s="487"/>
      <c r="X125" s="487"/>
      <c r="Y125" s="487"/>
      <c r="Z125" s="487"/>
      <c r="AA125" s="487"/>
      <c r="AB125" s="487"/>
      <c r="AC125" s="487"/>
      <c r="AD125" s="487"/>
      <c r="AE125" s="487"/>
      <c r="AF125" s="487"/>
      <c r="AG125" s="487"/>
      <c r="AH125" s="487"/>
      <c r="AI125" s="487"/>
      <c r="AJ125" s="487"/>
      <c r="AK125" s="487"/>
    </row>
    <row r="126" spans="1:54" s="488" customFormat="1" ht="12.75" x14ac:dyDescent="0.2">
      <c r="A126" s="487"/>
      <c r="B126" s="535"/>
      <c r="C126" s="489"/>
      <c r="D126" s="489"/>
      <c r="E126" s="507"/>
      <c r="F126" s="489"/>
      <c r="G126" s="489"/>
      <c r="H126" s="489"/>
      <c r="I126" s="489"/>
      <c r="J126" s="489"/>
      <c r="K126" s="489"/>
      <c r="L126" s="489"/>
      <c r="M126" s="489"/>
      <c r="N126" s="487"/>
      <c r="Q126" s="489"/>
      <c r="R126" s="489"/>
      <c r="S126" s="489"/>
      <c r="T126" s="489"/>
      <c r="U126" s="489"/>
      <c r="V126" s="489"/>
      <c r="W126" s="489"/>
      <c r="X126" s="489"/>
      <c r="Y126" s="489"/>
      <c r="Z126" s="489"/>
      <c r="AA126" s="489"/>
      <c r="AB126" s="489"/>
      <c r="AC126" s="489"/>
      <c r="AD126" s="489"/>
      <c r="AE126" s="487"/>
      <c r="AF126" s="487"/>
      <c r="AG126" s="487"/>
      <c r="AH126" s="487"/>
      <c r="AI126" s="487"/>
      <c r="AJ126" s="487"/>
      <c r="AK126" s="487"/>
    </row>
    <row r="127" spans="1:54" s="488" customFormat="1" ht="12.75" x14ac:dyDescent="0.2">
      <c r="A127" s="487"/>
      <c r="B127" s="535"/>
      <c r="C127" s="489"/>
      <c r="D127" s="489"/>
      <c r="E127" s="507"/>
      <c r="F127" s="489"/>
      <c r="G127" s="489"/>
      <c r="H127" s="489"/>
      <c r="I127" s="489"/>
      <c r="J127" s="489"/>
      <c r="K127" s="489"/>
      <c r="L127" s="489"/>
      <c r="M127" s="487"/>
      <c r="N127" s="487"/>
      <c r="Q127" s="487"/>
      <c r="R127" s="489"/>
      <c r="S127" s="489"/>
      <c r="T127" s="489"/>
      <c r="U127" s="489"/>
      <c r="V127" s="489"/>
      <c r="W127" s="489"/>
      <c r="X127" s="489"/>
      <c r="Y127" s="489"/>
      <c r="Z127" s="489"/>
      <c r="AA127" s="489"/>
      <c r="AB127" s="489"/>
      <c r="AC127" s="489"/>
      <c r="AD127" s="489"/>
      <c r="AE127" s="487"/>
      <c r="AF127" s="487"/>
      <c r="AG127" s="487"/>
      <c r="AH127" s="487"/>
      <c r="AI127" s="487"/>
      <c r="AJ127" s="487"/>
      <c r="AK127" s="487"/>
    </row>
    <row r="128" spans="1:54" s="488" customFormat="1" x14ac:dyDescent="0.2">
      <c r="A128" s="489"/>
      <c r="B128" s="489"/>
      <c r="C128" s="489"/>
      <c r="D128" s="489"/>
      <c r="E128" s="507"/>
      <c r="F128" s="489"/>
      <c r="G128" s="489"/>
      <c r="H128" s="489"/>
      <c r="I128" s="489"/>
      <c r="J128" s="489"/>
      <c r="K128" s="489"/>
      <c r="L128" s="489"/>
      <c r="M128" s="489"/>
      <c r="N128" s="487"/>
      <c r="O128" s="489"/>
      <c r="P128" s="489"/>
      <c r="Q128" s="489"/>
      <c r="R128" s="489"/>
      <c r="S128" s="489"/>
      <c r="T128" s="489"/>
      <c r="U128" s="489"/>
      <c r="V128" s="489"/>
      <c r="W128" s="489"/>
      <c r="X128" s="489"/>
      <c r="Y128" s="489"/>
      <c r="Z128" s="489"/>
      <c r="AA128" s="489"/>
      <c r="AB128" s="489"/>
      <c r="AC128" s="489"/>
      <c r="AD128" s="489"/>
      <c r="AE128" s="489"/>
      <c r="AF128" s="489"/>
      <c r="AG128" s="489"/>
      <c r="AH128" s="489"/>
      <c r="AI128" s="489"/>
      <c r="AJ128" s="489"/>
      <c r="AK128" s="489"/>
    </row>
    <row r="129" spans="1:54" s="488" customFormat="1" x14ac:dyDescent="0.2">
      <c r="A129" s="489"/>
      <c r="B129" s="489"/>
      <c r="C129" s="489"/>
      <c r="D129" s="489"/>
      <c r="E129" s="507"/>
      <c r="F129" s="489"/>
      <c r="G129" s="489"/>
      <c r="H129" s="489"/>
      <c r="I129" s="489"/>
      <c r="J129" s="489"/>
      <c r="K129" s="489"/>
      <c r="L129" s="489"/>
      <c r="M129" s="489"/>
      <c r="N129" s="489"/>
      <c r="O129" s="489"/>
      <c r="P129" s="489"/>
      <c r="Q129" s="489"/>
      <c r="R129" s="489"/>
      <c r="S129" s="489"/>
      <c r="T129" s="489"/>
      <c r="U129" s="489"/>
      <c r="V129" s="489"/>
      <c r="W129" s="489"/>
      <c r="X129" s="489"/>
      <c r="Y129" s="489"/>
      <c r="Z129" s="489"/>
      <c r="AA129" s="489"/>
      <c r="AB129" s="489"/>
      <c r="AC129" s="489"/>
      <c r="AD129" s="489"/>
      <c r="AE129" s="489"/>
      <c r="AF129" s="489"/>
      <c r="AG129" s="489"/>
      <c r="AH129" s="489"/>
      <c r="AI129" s="489"/>
      <c r="AJ129" s="489"/>
      <c r="AK129" s="489"/>
    </row>
    <row r="130" spans="1:54" s="488" customFormat="1" x14ac:dyDescent="0.2">
      <c r="A130" s="489"/>
      <c r="B130" s="489"/>
      <c r="C130" s="489"/>
      <c r="D130" s="489"/>
      <c r="E130" s="507"/>
      <c r="F130" s="489"/>
      <c r="G130" s="489"/>
      <c r="H130" s="489"/>
      <c r="I130" s="489"/>
      <c r="J130" s="489"/>
      <c r="K130" s="489"/>
      <c r="L130" s="489"/>
      <c r="M130" s="489"/>
      <c r="N130" s="489"/>
      <c r="O130" s="489"/>
      <c r="P130" s="489"/>
      <c r="Q130" s="489"/>
      <c r="R130" s="489"/>
      <c r="S130" s="489"/>
      <c r="T130" s="489"/>
      <c r="U130" s="489"/>
      <c r="V130" s="489"/>
      <c r="W130" s="489"/>
      <c r="X130" s="489"/>
      <c r="Y130" s="489"/>
      <c r="Z130" s="489"/>
      <c r="AA130" s="489"/>
      <c r="AB130" s="489"/>
      <c r="AC130" s="489"/>
      <c r="AD130" s="489"/>
      <c r="AE130" s="489"/>
      <c r="AF130" s="489"/>
      <c r="AG130" s="489"/>
      <c r="AH130" s="489"/>
      <c r="AI130" s="489"/>
      <c r="AJ130" s="489"/>
      <c r="AK130" s="489"/>
    </row>
    <row r="131" spans="1:54" s="488" customFormat="1" x14ac:dyDescent="0.2">
      <c r="A131" s="489"/>
      <c r="B131" s="489"/>
      <c r="C131" s="489"/>
      <c r="D131" s="489"/>
      <c r="E131" s="507"/>
      <c r="F131" s="489"/>
      <c r="G131" s="489"/>
      <c r="H131" s="489"/>
      <c r="I131" s="489"/>
      <c r="J131" s="489"/>
      <c r="K131" s="489"/>
      <c r="L131" s="489"/>
      <c r="M131" s="489"/>
      <c r="N131" s="489"/>
      <c r="O131" s="489"/>
      <c r="P131" s="489"/>
      <c r="Q131" s="489"/>
      <c r="R131" s="489"/>
      <c r="S131" s="489"/>
      <c r="T131" s="489"/>
      <c r="U131" s="489"/>
      <c r="V131" s="489"/>
      <c r="W131" s="489"/>
      <c r="X131" s="489"/>
      <c r="Y131" s="489"/>
      <c r="Z131" s="489"/>
      <c r="AA131" s="489"/>
      <c r="AB131" s="489"/>
      <c r="AC131" s="489"/>
      <c r="AD131" s="489"/>
      <c r="AE131" s="489"/>
      <c r="AF131" s="489"/>
      <c r="AG131" s="489"/>
      <c r="AH131" s="489"/>
      <c r="AI131" s="489"/>
      <c r="AJ131" s="489"/>
      <c r="AK131" s="489"/>
    </row>
    <row r="132" spans="1:54" s="488" customFormat="1" x14ac:dyDescent="0.2">
      <c r="A132" s="489"/>
      <c r="B132" s="489"/>
      <c r="C132" s="489"/>
      <c r="D132" s="489"/>
      <c r="E132" s="507"/>
      <c r="F132" s="489"/>
      <c r="G132" s="489"/>
      <c r="H132" s="489"/>
      <c r="I132" s="489"/>
      <c r="J132" s="489"/>
      <c r="K132" s="489"/>
      <c r="L132" s="489"/>
      <c r="M132" s="489"/>
      <c r="N132" s="489"/>
      <c r="O132" s="489"/>
      <c r="P132" s="489"/>
      <c r="Q132" s="489"/>
      <c r="R132" s="489"/>
      <c r="S132" s="489"/>
      <c r="T132" s="489"/>
      <c r="U132" s="489"/>
      <c r="V132" s="489"/>
      <c r="W132" s="489"/>
      <c r="X132" s="489"/>
      <c r="Y132" s="489"/>
      <c r="Z132" s="489"/>
      <c r="AA132" s="489"/>
      <c r="AB132" s="489"/>
      <c r="AC132" s="489"/>
      <c r="AD132" s="489"/>
      <c r="AE132" s="489"/>
      <c r="AF132" s="489"/>
      <c r="AG132" s="489"/>
      <c r="AH132" s="489"/>
      <c r="AI132" s="489"/>
      <c r="AJ132" s="489"/>
      <c r="AK132" s="489"/>
    </row>
    <row r="133" spans="1:54" s="488" customFormat="1" x14ac:dyDescent="0.2">
      <c r="A133" s="489"/>
      <c r="B133" s="489"/>
      <c r="C133" s="489"/>
      <c r="D133" s="489"/>
      <c r="E133" s="507"/>
      <c r="F133" s="489"/>
      <c r="G133" s="489"/>
      <c r="H133" s="489"/>
      <c r="I133" s="489"/>
      <c r="J133" s="489"/>
      <c r="K133" s="489"/>
      <c r="L133" s="489"/>
      <c r="M133" s="489"/>
      <c r="N133" s="489"/>
      <c r="O133" s="489"/>
      <c r="P133" s="489"/>
      <c r="Q133" s="489"/>
      <c r="R133" s="489"/>
      <c r="S133" s="489"/>
      <c r="T133" s="489"/>
      <c r="U133" s="489"/>
      <c r="V133" s="489"/>
      <c r="W133" s="489"/>
      <c r="X133" s="489"/>
      <c r="Y133" s="489"/>
      <c r="Z133" s="489"/>
      <c r="AA133" s="489"/>
      <c r="AB133" s="489"/>
      <c r="AC133" s="489"/>
      <c r="AD133" s="489"/>
      <c r="AE133" s="489"/>
      <c r="AF133" s="489"/>
      <c r="AG133" s="489"/>
      <c r="AH133" s="489"/>
      <c r="AI133" s="489"/>
      <c r="AJ133" s="489"/>
      <c r="AK133" s="489"/>
    </row>
    <row r="134" spans="1:54" s="488" customFormat="1" x14ac:dyDescent="0.2">
      <c r="A134" s="489"/>
      <c r="B134" s="489"/>
      <c r="C134" s="489"/>
      <c r="D134" s="489"/>
      <c r="E134" s="507"/>
      <c r="F134" s="489"/>
      <c r="G134" s="489"/>
      <c r="H134" s="489"/>
      <c r="I134" s="489"/>
      <c r="J134" s="489"/>
      <c r="K134" s="489"/>
      <c r="L134" s="489"/>
      <c r="M134" s="489"/>
      <c r="N134" s="489"/>
      <c r="O134" s="489"/>
      <c r="P134" s="489"/>
      <c r="Q134" s="489"/>
      <c r="R134" s="489"/>
      <c r="S134" s="489"/>
      <c r="T134" s="489"/>
      <c r="U134" s="489"/>
      <c r="V134" s="489"/>
      <c r="W134" s="489"/>
      <c r="X134" s="489"/>
      <c r="Y134" s="489"/>
      <c r="Z134" s="489"/>
      <c r="AA134" s="489"/>
      <c r="AB134" s="489"/>
      <c r="AC134" s="489"/>
      <c r="AD134" s="489"/>
      <c r="AE134" s="489"/>
      <c r="AF134" s="489"/>
      <c r="AG134" s="489"/>
      <c r="AH134" s="489"/>
      <c r="AI134" s="489"/>
      <c r="AJ134" s="489"/>
      <c r="AK134" s="489"/>
    </row>
    <row r="135" spans="1:54" s="488" customFormat="1" x14ac:dyDescent="0.2">
      <c r="A135" s="489"/>
      <c r="B135" s="489"/>
      <c r="C135" s="489"/>
      <c r="D135" s="489"/>
      <c r="E135" s="507"/>
      <c r="F135" s="489"/>
      <c r="G135" s="489"/>
      <c r="H135" s="489"/>
      <c r="I135" s="489"/>
      <c r="J135" s="489"/>
      <c r="K135" s="489"/>
      <c r="L135" s="489"/>
      <c r="M135" s="489"/>
      <c r="N135" s="489"/>
      <c r="O135" s="489"/>
      <c r="P135" s="489"/>
      <c r="Q135" s="489"/>
      <c r="R135" s="489"/>
      <c r="S135" s="489"/>
      <c r="T135" s="489"/>
      <c r="U135" s="489"/>
      <c r="V135" s="489"/>
      <c r="W135" s="489"/>
      <c r="X135" s="489"/>
      <c r="Y135" s="489"/>
      <c r="Z135" s="489"/>
      <c r="AA135" s="489"/>
      <c r="AB135" s="489"/>
      <c r="AC135" s="489"/>
      <c r="AD135" s="489"/>
      <c r="AE135" s="489"/>
      <c r="AF135" s="489"/>
      <c r="AG135" s="489"/>
      <c r="AH135" s="489"/>
      <c r="AI135" s="489"/>
      <c r="AJ135" s="489"/>
      <c r="AK135" s="489"/>
    </row>
    <row r="136" spans="1:54" s="488" customFormat="1" x14ac:dyDescent="0.2">
      <c r="A136" s="489"/>
      <c r="B136" s="489"/>
      <c r="C136" s="489"/>
      <c r="D136" s="489"/>
      <c r="E136" s="507"/>
      <c r="F136" s="489"/>
      <c r="G136" s="489"/>
      <c r="H136" s="489"/>
      <c r="I136" s="489"/>
      <c r="J136" s="489"/>
      <c r="K136" s="489"/>
      <c r="L136" s="489"/>
      <c r="M136" s="489"/>
      <c r="N136" s="489"/>
      <c r="O136" s="489"/>
      <c r="P136" s="489"/>
      <c r="Q136" s="489"/>
      <c r="R136" s="489"/>
      <c r="S136" s="489"/>
      <c r="T136" s="489"/>
      <c r="U136" s="489"/>
      <c r="V136" s="489"/>
      <c r="W136" s="489"/>
      <c r="X136" s="489"/>
      <c r="Y136" s="489"/>
      <c r="Z136" s="489"/>
      <c r="AA136" s="489"/>
      <c r="AB136" s="489"/>
      <c r="AC136" s="489"/>
      <c r="AD136" s="489"/>
      <c r="AE136" s="489"/>
      <c r="AF136" s="489"/>
      <c r="AG136" s="489"/>
      <c r="AH136" s="489"/>
      <c r="AI136" s="489"/>
      <c r="AJ136" s="489"/>
      <c r="AK136" s="489"/>
    </row>
    <row r="137" spans="1:54" s="488" customFormat="1" x14ac:dyDescent="0.2">
      <c r="A137" s="489"/>
      <c r="B137" s="489"/>
      <c r="C137" s="489"/>
      <c r="D137" s="489"/>
      <c r="E137" s="507"/>
      <c r="F137" s="489"/>
      <c r="G137" s="489"/>
      <c r="H137" s="489"/>
      <c r="I137" s="489"/>
      <c r="J137" s="489"/>
      <c r="K137" s="489"/>
      <c r="L137" s="489"/>
      <c r="M137" s="489"/>
      <c r="N137" s="489"/>
      <c r="O137" s="489"/>
      <c r="P137" s="489"/>
      <c r="Q137" s="489"/>
      <c r="R137" s="489"/>
      <c r="S137" s="489"/>
      <c r="T137" s="489"/>
      <c r="U137" s="489"/>
      <c r="V137" s="489"/>
      <c r="W137" s="489"/>
      <c r="X137" s="489"/>
      <c r="Y137" s="489"/>
      <c r="Z137" s="489"/>
      <c r="AA137" s="489"/>
      <c r="AB137" s="489"/>
      <c r="AC137" s="489"/>
      <c r="AD137" s="489"/>
      <c r="AE137" s="489"/>
      <c r="AF137" s="489"/>
      <c r="AG137" s="489"/>
      <c r="AH137" s="489"/>
      <c r="AI137" s="489"/>
      <c r="AJ137" s="489"/>
      <c r="AK137" s="489"/>
    </row>
    <row r="138" spans="1:54" s="488" customFormat="1" x14ac:dyDescent="0.2">
      <c r="B138" s="489"/>
      <c r="C138" s="489"/>
      <c r="D138" s="489"/>
      <c r="E138" s="507"/>
      <c r="F138" s="489"/>
      <c r="G138" s="489"/>
      <c r="H138" s="489"/>
      <c r="I138" s="489"/>
      <c r="J138" s="489"/>
      <c r="K138" s="489"/>
      <c r="L138" s="489"/>
      <c r="M138" s="489"/>
      <c r="N138" s="489"/>
      <c r="O138" s="489"/>
      <c r="P138" s="489"/>
      <c r="Q138" s="489"/>
      <c r="R138" s="489"/>
      <c r="S138" s="489"/>
      <c r="T138" s="489"/>
      <c r="U138" s="489"/>
      <c r="V138" s="489"/>
      <c r="W138" s="489"/>
      <c r="X138" s="489"/>
      <c r="Y138" s="489"/>
      <c r="Z138" s="489"/>
      <c r="AA138" s="489"/>
      <c r="AB138" s="489"/>
      <c r="AC138" s="489"/>
      <c r="AD138" s="489"/>
    </row>
    <row r="139" spans="1:54" s="488" customFormat="1" x14ac:dyDescent="0.2">
      <c r="B139" s="489"/>
      <c r="C139" s="489"/>
      <c r="D139" s="489"/>
      <c r="E139" s="507"/>
      <c r="F139" s="489"/>
      <c r="G139" s="489"/>
      <c r="H139" s="489"/>
      <c r="I139" s="489"/>
      <c r="J139" s="489"/>
      <c r="K139" s="489"/>
      <c r="L139" s="489"/>
      <c r="M139" s="489"/>
      <c r="N139" s="489"/>
      <c r="O139" s="489"/>
      <c r="P139" s="489"/>
      <c r="Q139" s="489"/>
      <c r="R139" s="489"/>
      <c r="S139" s="489"/>
      <c r="T139" s="489"/>
      <c r="U139" s="489"/>
      <c r="V139" s="489"/>
      <c r="W139" s="489"/>
      <c r="X139" s="489"/>
      <c r="Y139" s="489"/>
      <c r="Z139" s="489"/>
      <c r="AA139" s="489"/>
      <c r="AB139" s="489"/>
      <c r="AC139" s="489"/>
      <c r="AD139" s="489"/>
    </row>
    <row r="140" spans="1:54" s="488" customFormat="1" x14ac:dyDescent="0.2">
      <c r="B140" s="489"/>
      <c r="C140" s="489"/>
      <c r="D140" s="489"/>
      <c r="E140" s="507"/>
      <c r="F140" s="489"/>
      <c r="G140" s="489"/>
      <c r="H140" s="489"/>
      <c r="I140" s="489"/>
      <c r="J140" s="489"/>
      <c r="K140" s="489"/>
      <c r="L140" s="489"/>
      <c r="M140" s="489"/>
      <c r="N140" s="489"/>
      <c r="O140" s="489"/>
      <c r="P140" s="489"/>
      <c r="Q140" s="489"/>
      <c r="R140" s="489"/>
      <c r="S140" s="489"/>
      <c r="T140" s="489"/>
      <c r="U140" s="489"/>
      <c r="V140" s="489"/>
      <c r="W140" s="489"/>
      <c r="X140" s="489"/>
      <c r="Y140" s="489"/>
      <c r="Z140" s="489"/>
      <c r="AA140" s="489"/>
      <c r="AB140" s="489"/>
      <c r="AC140" s="489"/>
      <c r="AD140" s="489"/>
    </row>
    <row r="141" spans="1:54" s="488" customFormat="1" x14ac:dyDescent="0.2">
      <c r="B141" s="489"/>
      <c r="C141" s="489"/>
      <c r="D141" s="489"/>
      <c r="E141" s="507"/>
      <c r="F141" s="489"/>
      <c r="G141" s="489"/>
      <c r="H141" s="489"/>
      <c r="I141" s="489"/>
      <c r="J141" s="489"/>
      <c r="K141" s="489"/>
      <c r="L141" s="489"/>
      <c r="M141" s="489"/>
      <c r="N141" s="489"/>
      <c r="O141" s="489"/>
      <c r="P141" s="489"/>
      <c r="Q141" s="489"/>
      <c r="R141" s="489"/>
      <c r="S141" s="489"/>
      <c r="T141" s="489"/>
      <c r="U141" s="489"/>
      <c r="V141" s="489"/>
      <c r="W141" s="489"/>
      <c r="X141" s="489"/>
      <c r="Y141" s="489"/>
      <c r="Z141" s="489"/>
      <c r="AA141" s="489"/>
      <c r="AB141" s="489"/>
      <c r="AC141" s="489"/>
      <c r="AD141" s="489"/>
    </row>
    <row r="142" spans="1:54" s="488" customFormat="1" x14ac:dyDescent="0.2">
      <c r="B142" s="489"/>
      <c r="C142" s="489"/>
      <c r="D142" s="489"/>
      <c r="E142" s="507"/>
      <c r="F142" s="489"/>
      <c r="G142" s="489"/>
      <c r="H142" s="489"/>
      <c r="I142" s="489"/>
      <c r="J142" s="489"/>
      <c r="K142" s="489"/>
      <c r="L142" s="489"/>
      <c r="M142" s="489"/>
      <c r="N142" s="489"/>
      <c r="O142" s="489"/>
      <c r="P142" s="489"/>
      <c r="Q142" s="489"/>
      <c r="R142" s="489"/>
      <c r="S142" s="489"/>
      <c r="T142" s="489"/>
      <c r="U142" s="489"/>
      <c r="V142" s="489"/>
      <c r="W142" s="489"/>
      <c r="X142" s="489"/>
      <c r="Y142" s="489"/>
      <c r="Z142" s="489"/>
      <c r="AA142" s="489"/>
      <c r="AB142" s="489"/>
      <c r="AC142" s="489"/>
      <c r="AD142" s="489"/>
    </row>
    <row r="143" spans="1:54" x14ac:dyDescent="0.2">
      <c r="B143" s="267"/>
      <c r="C143" s="267"/>
      <c r="D143" s="267"/>
      <c r="F143" s="267"/>
      <c r="G143" s="267"/>
      <c r="H143" s="267"/>
      <c r="I143" s="267"/>
      <c r="J143" s="267"/>
      <c r="K143" s="267"/>
      <c r="L143" s="267"/>
      <c r="M143" s="267"/>
      <c r="N143" s="267"/>
      <c r="O143" s="267"/>
      <c r="P143" s="267"/>
      <c r="Q143" s="267"/>
      <c r="R143" s="267"/>
      <c r="S143" s="267"/>
      <c r="T143" s="267"/>
      <c r="U143" s="267"/>
      <c r="V143" s="267"/>
      <c r="W143" s="267"/>
      <c r="X143" s="267"/>
      <c r="Y143" s="267"/>
      <c r="Z143" s="267"/>
      <c r="AA143" s="267"/>
      <c r="AB143" s="267"/>
      <c r="AC143" s="267"/>
      <c r="AD143" s="267"/>
      <c r="BA143" s="488"/>
      <c r="BB143" s="488"/>
    </row>
    <row r="144" spans="1:54" x14ac:dyDescent="0.2">
      <c r="B144" s="267"/>
      <c r="C144" s="267"/>
      <c r="D144" s="267"/>
      <c r="F144" s="267"/>
      <c r="G144" s="267"/>
      <c r="H144" s="267"/>
      <c r="I144" s="267"/>
      <c r="J144" s="267"/>
      <c r="K144" s="267"/>
      <c r="L144" s="267"/>
      <c r="M144" s="267"/>
      <c r="N144" s="267"/>
      <c r="O144" s="267"/>
      <c r="P144" s="267"/>
      <c r="Q144" s="267"/>
      <c r="R144" s="267"/>
      <c r="S144" s="267"/>
      <c r="T144" s="267"/>
      <c r="U144" s="267"/>
      <c r="V144" s="267"/>
      <c r="W144" s="267"/>
      <c r="X144" s="267"/>
      <c r="Y144" s="267"/>
      <c r="Z144" s="267"/>
      <c r="AA144" s="267"/>
      <c r="AB144" s="267"/>
      <c r="AC144" s="267"/>
      <c r="AD144" s="267"/>
    </row>
    <row r="145" spans="2:30" x14ac:dyDescent="0.2">
      <c r="B145" s="267"/>
      <c r="C145" s="267"/>
      <c r="D145" s="267"/>
      <c r="F145" s="267"/>
      <c r="G145" s="267"/>
      <c r="H145" s="267"/>
      <c r="I145" s="267"/>
      <c r="J145" s="267"/>
      <c r="K145" s="267"/>
      <c r="L145" s="267"/>
      <c r="M145" s="267"/>
      <c r="N145" s="267"/>
      <c r="O145" s="267"/>
      <c r="P145" s="267"/>
      <c r="Q145" s="267"/>
      <c r="R145" s="267"/>
      <c r="S145" s="267"/>
      <c r="T145" s="267"/>
      <c r="U145" s="267"/>
      <c r="V145" s="267"/>
      <c r="W145" s="267"/>
      <c r="X145" s="267"/>
      <c r="Y145" s="267"/>
      <c r="Z145" s="267"/>
      <c r="AA145" s="267"/>
      <c r="AB145" s="267"/>
      <c r="AC145" s="267"/>
      <c r="AD145" s="267"/>
    </row>
  </sheetData>
  <sheetProtection password="CC75" sheet="1" objects="1" scenarios="1"/>
  <mergeCells count="16">
    <mergeCell ref="S3:AD4"/>
    <mergeCell ref="B125:F125"/>
    <mergeCell ref="B124:F124"/>
    <mergeCell ref="S5:AD5"/>
    <mergeCell ref="AH116:AK116"/>
    <mergeCell ref="B5:F5"/>
    <mergeCell ref="H5:Q5"/>
    <mergeCell ref="AF5:AN5"/>
    <mergeCell ref="AL6:AN6"/>
    <mergeCell ref="AL7:AN7"/>
    <mergeCell ref="AN8:AN9"/>
    <mergeCell ref="AH111:AK111"/>
    <mergeCell ref="AH112:AK112"/>
    <mergeCell ref="AH113:AK113"/>
    <mergeCell ref="AH114:AK114"/>
    <mergeCell ref="AH115:AK115"/>
  </mergeCells>
  <phoneticPr fontId="7" type="noConversion"/>
  <conditionalFormatting sqref="B10:B109">
    <cfRule type="duplicateValues" dxfId="33" priority="5"/>
  </conditionalFormatting>
  <conditionalFormatting sqref="B111:B115">
    <cfRule type="duplicateValues" dxfId="32" priority="2"/>
  </conditionalFormatting>
  <conditionalFormatting sqref="S3">
    <cfRule type="notContainsBlanks" dxfId="31" priority="1">
      <formula>LEN(TRIM(S3))&gt;0</formula>
    </cfRule>
  </conditionalFormatting>
  <dataValidations xWindow="1321" yWindow="356" count="33">
    <dataValidation allowBlank="1" showInputMessage="1" showErrorMessage="1" promptTitle="If column (T1) = N" prompt="Split Position: _x000a_Enter the Account Number where balance of FTE will be paid from next year.  (e.g. 2221-254-233F 0.40). " sqref="AG9"/>
    <dataValidation allowBlank="1" showInputMessage="1" showErrorMessage="1" promptTitle="Transfer In position:" prompt="When the position is paid from this account in Next FY but was paid from another account This FY:_x000a__x000a_Enter This FY ACCOUNT NUMBER number in this column" sqref="AK9"/>
    <dataValidation allowBlank="1" showInputMessage="1" showErrorMessage="1" promptTitle="New Position?" prompt="When the position is budgeted Next FY but not This FY :_x000a__x000a_- If a NEW position is requested :  Enter &quot;Y&quot; in this column_x000a__x000a_- If the position will TRANSFER from Another Account:  Enter 'N' in this column and the Transfer From ACCOUNT NUMBER in column (T6)." sqref="AJ9"/>
    <dataValidation allowBlank="1" showInputMessage="1" showErrorMessage="1" promptTitle="Position Eliminated?" prompt="When the position is budgeted This FY but not Next FY:_x000a__x000a_- If  the Position is ELIMINATED:  Enter &quot;Y&quot; in this column _x000a__x000a_- If the position will TRANSFER to another account:  Enter &quot;N&quot; in this column and the Transfer To ACCOUNT NUMBER in column (T4)" sqref="AH9"/>
    <dataValidation allowBlank="1" showInputMessage="1" showErrorMessage="1" promptTitle="If FTE &lt; 1.0:" prompt="If Part-Time position - enter Y in this column_x000a__x000a_If Split Position - enter N in this column AND the Account Number(s) where balance of FTE will be paid from in column (T2)" sqref="AF9"/>
    <dataValidation allowBlank="1" showInputMessage="1" showErrorMessage="1" promptTitle="Transfer Out position" prompt="When the position is paid from this account This FY but will be paid from another account in Next FY:_x000a__x000a_Enter the Next FY ACCOUNT NUMBER number in this column" sqref="AI9"/>
    <dataValidation type="list" allowBlank="1" showInputMessage="1" showErrorMessage="1" sqref="AF10:AF109">
      <formula1>$AZ$2:$AZ$4</formula1>
    </dataValidation>
    <dataValidation allowBlank="1" showInputMessage="1" showErrorMessage="1" promptTitle="Total Fringe" prompt="On Total Salary amount" sqref="AD9"/>
    <dataValidation allowBlank="1" showInputMessage="1" showErrorMessage="1" promptTitle="Total Salary Budget" prompt="Total Salary including Merit, plus Stipend, prorated for FTE and Pay Periods on this account_x000a_" sqref="AB9"/>
    <dataValidation allowBlank="1" showInputMessage="1" showErrorMessage="1" promptTitle="Month of Hire" prompt="_x000a_This field must be completed.  _x000a__x000a_Do not abbreviate.  _x000a__x000a_Enter the employee's anticipated month of hire.  If an existing employee, enter July." sqref="Y117:AA117 Y120:AA120"/>
    <dataValidation allowBlank="1" showInputMessage="1" showErrorMessage="1" promptTitle="Monthly Salary" prompt="(Base salary + Merit + COLA)/12" sqref="AA9"/>
    <dataValidation allowBlank="1" showInputMessage="1" showErrorMessage="1" promptTitle="Merit" prompt="Merit awards range from $1,000 to $4,500 per employee.  _x000a_Enter FULL merit award recommended by Dean/Director_x000a__x000a_Formula will adjust for partial FTE" sqref="Y9"/>
    <dataValidation allowBlank="1" showInputMessage="1" showErrorMessage="1" promptTitle="Base Salary" prompt="Exising employee (including employees transfering from other accounts): enter current Annualized base Salary.  _x000a__x000a_New employees: enter projected Annualized base Salary ." sqref="W9"/>
    <dataValidation allowBlank="1" showInputMessage="1" showErrorMessage="1" promptTitle="New Hire:" prompt="If this will be a new hire in the next fiscal year enter 'Y' in this field.  For existing employees, including employees transferring from other accounts, leave blank." sqref="S9"/>
    <dataValidation allowBlank="1" showInputMessage="1" showErrorMessage="1" promptTitle="COLA" prompt="Governor's Recommended %" sqref="Z9"/>
    <dataValidation allowBlank="1" showInputMessage="1" showErrorMessage="1" promptTitle="Total Adjusted Salary" prompt="Total annualized base salary adjusted for months filled, FTE, and unpaid leave days taken._x000a__x000a_This is the total amount projected to be charged to the account this fiscal year.  _x000a__x000a_Reconcile to Workday POSITION BUDGET BY WORKTAG" sqref="O9"/>
    <dataValidation allowBlank="1" showInputMessage="1" showErrorMessage="1" promptTitle="Stipend" prompt="Annual Stipend amount per employment document._x000a__x000a_For part-time positions, adjust the Stipend to it's full time equivalent amount._x000a__x000a_E.G. Employee works 20 hrs/wk, annual Stipend $3,000:_x000a_Enter Base Stipend of $6,000." sqref="X9 L9"/>
    <dataValidation allowBlank="1" showInputMessage="1" showErrorMessage="1" promptTitle="FTE" prompt="Enter portion of 1.0 Full Time Equivalent that employee will be paid from this account.  _x000a__x000a_For less than 1.0 FTE, note if the position is part time or enter the account number(s) where the remaining FTE will be paid from in the Personnel Tracking column." sqref="U9"/>
    <dataValidation allowBlank="1" showInputMessage="1" showErrorMessage="1" promptTitle="Pay Periods" prompt="Number of Pay periods that the position is projected to be filled next fiscal year." sqref="V9"/>
    <dataValidation allowBlank="1" showInputMessage="1" showErrorMessage="1" promptTitle="LOA" prompt="Letter of Appointment.  Enter TOTAL FY PAY for all personnel in Total Salary field. " sqref="F116"/>
    <dataValidation allowBlank="1" showInputMessage="1" showErrorMessage="1" promptTitle="Position Title" prompt="List OFFICIAL POSITION TITLE per PDQ/Workday" sqref="C9"/>
    <dataValidation allowBlank="1" showInputMessage="1" showErrorMessage="1" promptTitle="Employee Names" prompt="One line per Position Number.  List ALL EMPLOYEES in the position this FY and enter the total combined Pay Periods to calculate the Projected Actual total position expense for this FY._x000a__x000a_Use the highest Base Salary and prorate the pay periods if necessary" sqref="D9"/>
    <dataValidation allowBlank="1" showInputMessage="1" showErrorMessage="1" promptTitle="Position Number:" prompt="List ALL positions currently budgeted to the account per the Position Budget by Worktag." sqref="B9"/>
    <dataValidation allowBlank="1" showInputMessage="1" showErrorMessage="1" promptTitle="EPC" prompt="If employee is on the Employer-Paid Retirement Contribution (EPC) option, enter &quot;Y&quot; in this cell. Salary will be reduced by the EPC factor and Retirement benefits will be calculated at the higher EPC rate.  _x000a__x000a_For non-EPC employees, leave this cell blank." sqref="F9"/>
    <dataValidation allowBlank="1" showInputMessage="1" showErrorMessage="1" promptTitle="FTE" prompt="Enter portion of 1.0 Full Time Equivalent that employee is paid from this account.  " sqref="H9:I9 T9"/>
    <dataValidation allowBlank="1" showInputMessage="1" showErrorMessage="1" promptTitle="Pay Periods" prompt="Number of months that position is projected to be filled during the current fiscal year." sqref="J9"/>
    <dataValidation allowBlank="1" showInputMessage="1" showErrorMessage="1" promptTitle="Base Salary" prompt="Annual contract amount per employment document._x000a__x000a_For part-time positions, adjust the salary to it's full time equivalent amount._x000a__x000a_E.G. Employee works 20 hrs/wk, annual salary $25,000:_x000a_Enter Base Salary of $50,000." sqref="K9"/>
    <dataValidation type="list" allowBlank="1" showInputMessage="1" showErrorMessage="1" sqref="AH10:AH109 F10:F115 AJ10:AJ109">
      <formula1>$AY$2:$AY$3</formula1>
    </dataValidation>
    <dataValidation allowBlank="1" showInputMessage="1" showErrorMessage="1" promptTitle="Stipend Only:" prompt="Monthly Stipend X 12 = Annualized Base Stipend_x000a_" sqref="L111:L115"/>
    <dataValidation type="list" allowBlank="1" showInputMessage="1" showErrorMessage="1" sqref="Y10:Y109">
      <formula1>$BA$1:$BA$8</formula1>
    </dataValidation>
    <dataValidation allowBlank="1" showInputMessage="1" showErrorMessage="1" promptTitle="Salary Savings Reassignments" prompt="Line out position budget above as normal, then show a negative adjustment for the salary (Cell S119) and fringe (Cell X119) amounts paid from a state account This FY." sqref="C118"/>
    <dataValidation allowBlank="1" showInputMessage="1" showErrorMessage="1" promptTitle="Temporary Grant Funding" prompt="Grant positions where funding is not yet in place, so a self-supporting account will be used until the time when funding has been received._x000a_Amounts are carried over from E2 GRANT form. " sqref="C119"/>
    <dataValidation allowBlank="1" showInputMessage="1" showErrorMessage="1" promptTitle="LOA" prompt="Letter of Appointment and Letter of Appointment with Benefits (due to single Fringe Rate).  Enter TOTAL FY PAY for all personnel in Total Salary field. " sqref="C116"/>
  </dataValidations>
  <printOptions horizontalCentered="1"/>
  <pageMargins left="0" right="0" top="0.4" bottom="0.25" header="0.5" footer="0.5"/>
  <pageSetup scale="59" fitToHeight="4" orientation="landscape" r:id="rId1"/>
  <headerFooter alignWithMargins="0"/>
  <extLst>
    <ext xmlns:x14="http://schemas.microsoft.com/office/spreadsheetml/2009/9/main" uri="{CCE6A557-97BC-4b89-ADB6-D9C93CAAB3DF}">
      <x14:dataValidations xmlns:xm="http://schemas.microsoft.com/office/excel/2006/main" xWindow="1321" yWindow="356" count="1">
        <x14:dataValidation type="list" allowBlank="1" showInputMessage="1" showErrorMessage="1">
          <x14:formula1>
            <xm:f>'SUMMARY FORM'!$AH$2:$AH$4</xm:f>
          </x14:formula1>
          <xm:sqref>S10:S109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AK143"/>
  <sheetViews>
    <sheetView zoomScale="90" zoomScaleNormal="90" workbookViewId="0">
      <pane xSplit="6" ySplit="9" topLeftCell="G10" activePane="bottomRight" state="frozen"/>
      <selection activeCell="N6" sqref="N6"/>
      <selection pane="topRight" activeCell="N6" sqref="N6"/>
      <selection pane="bottomLeft" activeCell="N6" sqref="N6"/>
      <selection pane="bottomRight"/>
    </sheetView>
  </sheetViews>
  <sheetFormatPr defaultColWidth="9.7109375" defaultRowHeight="12" x14ac:dyDescent="0.2"/>
  <cols>
    <col min="1" max="1" width="4.5703125" style="35" bestFit="1" customWidth="1"/>
    <col min="2" max="2" width="10.28515625" style="35" customWidth="1"/>
    <col min="3" max="3" width="34.7109375" style="35" customWidth="1"/>
    <col min="4" max="4" width="35.42578125" style="35" customWidth="1"/>
    <col min="5" max="5" width="6.5703125" style="507" bestFit="1" customWidth="1"/>
    <col min="6" max="6" width="5.7109375" style="35" customWidth="1"/>
    <col min="7" max="7" width="0.85546875" style="35" customWidth="1"/>
    <col min="8" max="8" width="6.42578125" style="35" bestFit="1" customWidth="1"/>
    <col min="9" max="9" width="8.85546875" style="35" hidden="1" customWidth="1"/>
    <col min="10" max="10" width="7.28515625" style="35" customWidth="1"/>
    <col min="11" max="11" width="9.140625" style="35" bestFit="1" customWidth="1"/>
    <col min="12" max="12" width="7.85546875" style="35" bestFit="1" customWidth="1"/>
    <col min="13" max="13" width="9.28515625" style="35" bestFit="1" customWidth="1"/>
    <col min="14" max="14" width="13.7109375" style="35" hidden="1" customWidth="1"/>
    <col min="15" max="15" width="7.28515625" style="35" hidden="1" customWidth="1"/>
    <col min="16" max="16" width="9.28515625" style="35" hidden="1" customWidth="1"/>
    <col min="17" max="17" width="12" style="35" customWidth="1"/>
    <col min="18" max="18" width="7.42578125" style="35" hidden="1" customWidth="1"/>
    <col min="19" max="19" width="12" style="35" customWidth="1"/>
    <col min="20" max="20" width="11" style="35" customWidth="1"/>
    <col min="21" max="21" width="18.5703125" style="35" customWidth="1"/>
    <col min="22" max="22" width="21.7109375" style="1166" customWidth="1"/>
    <col min="23" max="30" width="12" style="35" customWidth="1"/>
    <col min="31" max="32" width="6.7109375" style="35" customWidth="1"/>
    <col min="33" max="33" width="2.42578125" style="35" customWidth="1"/>
    <col min="34" max="34" width="19.7109375" style="35" hidden="1" customWidth="1"/>
    <col min="35" max="35" width="9.5703125" style="35" hidden="1" customWidth="1"/>
    <col min="36" max="36" width="7.140625" style="35" hidden="1" customWidth="1"/>
    <col min="37" max="37" width="9.7109375" style="35" collapsed="1"/>
    <col min="38" max="16384" width="9.7109375" style="35"/>
  </cols>
  <sheetData>
    <row r="1" spans="1:37" s="382" customFormat="1" ht="13.5" thickBot="1" x14ac:dyDescent="0.25">
      <c r="A1" s="941"/>
      <c r="B1" s="942" t="str">
        <f>'SUMMARY FORM'!A2</f>
        <v>FY21 SELF-SUPPORTING BUDGET REQUEST</v>
      </c>
      <c r="C1" s="943"/>
      <c r="D1" s="942"/>
      <c r="E1" s="944"/>
      <c r="F1" s="943"/>
      <c r="G1" s="943"/>
      <c r="H1" s="943"/>
      <c r="I1" s="943"/>
      <c r="J1" s="943"/>
      <c r="K1" s="943"/>
      <c r="L1" s="943"/>
      <c r="M1" s="943"/>
      <c r="N1" s="943"/>
      <c r="O1" s="943"/>
      <c r="P1" s="943"/>
      <c r="Q1" s="943"/>
      <c r="R1" s="943"/>
      <c r="S1" s="422" t="s">
        <v>1099</v>
      </c>
      <c r="T1" s="945"/>
      <c r="U1" s="941"/>
      <c r="V1" s="1161"/>
      <c r="AG1" s="946"/>
      <c r="AH1" s="334" t="s">
        <v>645</v>
      </c>
      <c r="AI1" s="382" t="s">
        <v>646</v>
      </c>
      <c r="AJ1" s="382" t="s">
        <v>770</v>
      </c>
    </row>
    <row r="2" spans="1:37" ht="12.75" customHeight="1" x14ac:dyDescent="0.2">
      <c r="A2" s="38"/>
      <c r="B2" s="36"/>
      <c r="C2" s="131"/>
      <c r="D2" s="36"/>
      <c r="E2" s="499"/>
      <c r="F2" s="131"/>
      <c r="G2" s="131"/>
      <c r="H2" s="131"/>
      <c r="I2" s="131"/>
      <c r="J2" s="131"/>
      <c r="K2" s="131"/>
      <c r="L2" s="131"/>
      <c r="M2" s="131"/>
      <c r="N2" s="131"/>
      <c r="O2" s="131"/>
      <c r="P2" s="131"/>
      <c r="Q2"/>
      <c r="R2"/>
      <c r="S2"/>
      <c r="T2"/>
      <c r="U2" s="38"/>
      <c r="V2" s="1162"/>
      <c r="AG2" s="540"/>
      <c r="AH2" s="335" t="s">
        <v>632</v>
      </c>
      <c r="AI2" s="383"/>
      <c r="AJ2" s="382">
        <v>0</v>
      </c>
      <c r="AK2" s="382"/>
    </row>
    <row r="3" spans="1:37" ht="12.75" x14ac:dyDescent="0.2">
      <c r="A3" s="38"/>
      <c r="B3"/>
      <c r="C3" s="375" t="s">
        <v>641</v>
      </c>
      <c r="D3" s="947" t="str">
        <f>'SUMMARY FORM'!AF2</f>
        <v>0  0  0  NEW</v>
      </c>
      <c r="E3" s="500"/>
      <c r="F3"/>
      <c r="G3"/>
      <c r="H3" s="1336" t="str">
        <f>IF(J111=I111,"","Note: An FTE is more than two decimal places. Please adjust all FTEs to be two decimal places in length.")</f>
        <v/>
      </c>
      <c r="I3" s="1336"/>
      <c r="J3" s="1336"/>
      <c r="K3" s="1336"/>
      <c r="L3" s="1336"/>
      <c r="M3" s="1336"/>
      <c r="N3" s="1336"/>
      <c r="O3" s="1336"/>
      <c r="P3" s="1336"/>
      <c r="Q3" s="1336"/>
      <c r="R3" s="1336"/>
      <c r="S3" s="1336"/>
      <c r="T3"/>
      <c r="U3" s="38"/>
      <c r="V3" s="1162"/>
      <c r="AG3" s="540"/>
      <c r="AH3" s="383" t="s">
        <v>639</v>
      </c>
      <c r="AI3" s="383" t="s">
        <v>632</v>
      </c>
      <c r="AJ3" s="35">
        <v>1000</v>
      </c>
    </row>
    <row r="4" spans="1:37" ht="12.75" x14ac:dyDescent="0.2">
      <c r="A4" s="38"/>
      <c r="B4" s="38"/>
      <c r="C4" s="38"/>
      <c r="D4" s="38"/>
      <c r="E4" s="501"/>
      <c r="F4" s="38"/>
      <c r="G4" s="131"/>
      <c r="H4" s="1337"/>
      <c r="I4" s="1337"/>
      <c r="J4" s="1337"/>
      <c r="K4" s="1337"/>
      <c r="L4" s="1337"/>
      <c r="M4" s="1337"/>
      <c r="N4" s="1337"/>
      <c r="O4" s="1337"/>
      <c r="P4" s="1337"/>
      <c r="Q4" s="1337"/>
      <c r="R4" s="1337"/>
      <c r="S4" s="1337"/>
      <c r="T4"/>
      <c r="U4" s="38"/>
      <c r="V4" s="1162"/>
      <c r="AG4" s="540"/>
      <c r="AI4" s="383" t="s">
        <v>639</v>
      </c>
      <c r="AJ4" s="35">
        <v>1500</v>
      </c>
    </row>
    <row r="5" spans="1:37" s="638" customFormat="1" ht="15.75" x14ac:dyDescent="0.25">
      <c r="A5" s="634"/>
      <c r="B5" s="1326" t="str">
        <f>'SUMMARY FORM'!N15&amp;" New Professional Position Requests"</f>
        <v>FY21 New Professional Position Requests</v>
      </c>
      <c r="C5" s="1327"/>
      <c r="D5" s="1327"/>
      <c r="E5" s="1327"/>
      <c r="F5" s="1327"/>
      <c r="G5" s="635"/>
      <c r="H5" s="1326" t="str">
        <f>'FORM E1'!S5</f>
        <v xml:space="preserve">FY21 BUDGET </v>
      </c>
      <c r="I5" s="1327"/>
      <c r="J5" s="1328"/>
      <c r="K5" s="1327"/>
      <c r="L5" s="1327"/>
      <c r="M5" s="1327"/>
      <c r="N5" s="1327"/>
      <c r="O5" s="1327"/>
      <c r="P5" s="1327"/>
      <c r="Q5" s="1327"/>
      <c r="R5" s="1327"/>
      <c r="S5" s="1329"/>
      <c r="T5"/>
      <c r="U5" s="948" t="s">
        <v>889</v>
      </c>
      <c r="V5" s="1155"/>
      <c r="W5" s="637"/>
      <c r="X5" s="637"/>
      <c r="Y5" s="637"/>
      <c r="Z5" s="637"/>
      <c r="AA5" s="637"/>
      <c r="AB5" s="637"/>
      <c r="AC5" s="637"/>
      <c r="AD5" s="637"/>
      <c r="AG5" s="639"/>
      <c r="AJ5" s="35">
        <v>2000</v>
      </c>
    </row>
    <row r="6" spans="1:37" ht="15" customHeight="1" x14ac:dyDescent="0.2">
      <c r="A6" s="38"/>
      <c r="B6" s="40" t="s">
        <v>2</v>
      </c>
      <c r="C6" s="132" t="s">
        <v>3</v>
      </c>
      <c r="D6" s="41" t="s">
        <v>4</v>
      </c>
      <c r="E6" s="949" t="s">
        <v>5</v>
      </c>
      <c r="F6" s="950" t="s">
        <v>6</v>
      </c>
      <c r="G6" s="133"/>
      <c r="H6" s="42" t="s">
        <v>11</v>
      </c>
      <c r="I6" s="42"/>
      <c r="J6" s="42" t="s">
        <v>12</v>
      </c>
      <c r="K6" s="42" t="s">
        <v>13</v>
      </c>
      <c r="L6" s="42" t="s">
        <v>14</v>
      </c>
      <c r="M6" s="372" t="s">
        <v>1</v>
      </c>
      <c r="N6" s="42" t="s">
        <v>771</v>
      </c>
      <c r="O6" s="42"/>
      <c r="P6" s="42"/>
      <c r="Q6" s="42"/>
      <c r="R6" s="43"/>
      <c r="S6" s="43"/>
      <c r="T6"/>
      <c r="U6" s="42" t="s">
        <v>685</v>
      </c>
      <c r="V6" s="42" t="s">
        <v>686</v>
      </c>
      <c r="AG6" s="540"/>
      <c r="AJ6" s="35">
        <v>2500</v>
      </c>
    </row>
    <row r="7" spans="1:37" ht="12.75" x14ac:dyDescent="0.2">
      <c r="A7" s="38"/>
      <c r="B7" s="951"/>
      <c r="C7" s="952"/>
      <c r="D7" s="952"/>
      <c r="E7" s="953"/>
      <c r="F7" s="954"/>
      <c r="G7" s="133"/>
      <c r="H7" s="951" t="s">
        <v>350</v>
      </c>
      <c r="I7" s="1121"/>
      <c r="J7" s="955"/>
      <c r="K7" s="956"/>
      <c r="L7" s="960" t="str">
        <f>'SUMMARY FORM'!N15</f>
        <v>FY21</v>
      </c>
      <c r="M7" s="952" t="str">
        <f>'SUMMARY FORM'!N15</f>
        <v>FY21</v>
      </c>
      <c r="N7" s="961"/>
      <c r="O7" s="962" t="str">
        <f>'SUMMARY FORM'!N15</f>
        <v>FY21</v>
      </c>
      <c r="P7" s="963"/>
      <c r="Q7" s="958" t="str">
        <f>'SUMMARY FORM'!N15</f>
        <v>FY21</v>
      </c>
      <c r="R7" s="964" t="s">
        <v>18</v>
      </c>
      <c r="S7" s="958" t="str">
        <f>'SUMMARY FORM'!N15</f>
        <v>FY21</v>
      </c>
      <c r="T7"/>
      <c r="U7" s="958" t="s">
        <v>628</v>
      </c>
      <c r="V7" s="958" t="s">
        <v>630</v>
      </c>
      <c r="W7" s="267"/>
      <c r="X7" s="267"/>
      <c r="Y7" s="267"/>
      <c r="Z7" s="267"/>
      <c r="AA7" s="267"/>
      <c r="AB7" s="267"/>
      <c r="AC7" s="267"/>
      <c r="AD7" s="267"/>
      <c r="AG7" s="540"/>
      <c r="AJ7" s="35">
        <v>3000</v>
      </c>
    </row>
    <row r="8" spans="1:37" ht="12.75" x14ac:dyDescent="0.2">
      <c r="A8" s="38"/>
      <c r="B8" s="965" t="s">
        <v>244</v>
      </c>
      <c r="C8" s="954"/>
      <c r="D8" s="954" t="s">
        <v>0</v>
      </c>
      <c r="E8" s="953"/>
      <c r="F8" s="954"/>
      <c r="G8" s="133"/>
      <c r="H8" s="965" t="s">
        <v>274</v>
      </c>
      <c r="I8" s="1122" t="s">
        <v>3866</v>
      </c>
      <c r="J8" s="966"/>
      <c r="K8" s="41" t="s">
        <v>345</v>
      </c>
      <c r="L8" s="968" t="s">
        <v>20</v>
      </c>
      <c r="M8" s="954" t="s">
        <v>20</v>
      </c>
      <c r="N8" s="969" t="str">
        <f>'SUMMARY FORM'!N15</f>
        <v>FY21</v>
      </c>
      <c r="O8" s="970" t="s">
        <v>275</v>
      </c>
      <c r="P8" s="971" t="s">
        <v>333</v>
      </c>
      <c r="Q8" s="967" t="s">
        <v>330</v>
      </c>
      <c r="R8" s="972" t="s">
        <v>1202</v>
      </c>
      <c r="S8" s="967" t="s">
        <v>330</v>
      </c>
      <c r="T8"/>
      <c r="U8" s="967" t="s">
        <v>629</v>
      </c>
      <c r="V8" s="967" t="s">
        <v>244</v>
      </c>
      <c r="W8" s="267"/>
      <c r="X8" s="267"/>
      <c r="Y8" s="267"/>
      <c r="Z8" s="267"/>
      <c r="AA8" s="267"/>
      <c r="AB8" s="267"/>
      <c r="AC8" s="267"/>
      <c r="AD8" s="267"/>
      <c r="AE8" s="496"/>
      <c r="AF8" s="496"/>
      <c r="AG8" s="541"/>
      <c r="AH8" s="496"/>
      <c r="AI8" s="496"/>
      <c r="AJ8" s="35">
        <v>4500</v>
      </c>
    </row>
    <row r="9" spans="1:37" ht="12.75" x14ac:dyDescent="0.2">
      <c r="A9" s="38"/>
      <c r="B9" s="973" t="s">
        <v>15</v>
      </c>
      <c r="C9" s="974" t="s">
        <v>16</v>
      </c>
      <c r="D9" s="48" t="s">
        <v>3859</v>
      </c>
      <c r="E9" s="976" t="s">
        <v>726</v>
      </c>
      <c r="F9" s="977" t="s">
        <v>579</v>
      </c>
      <c r="G9" s="133"/>
      <c r="H9" s="973" t="str">
        <f>'SUMMARY FORM'!N15</f>
        <v>FY21</v>
      </c>
      <c r="I9" s="1123" t="s">
        <v>243</v>
      </c>
      <c r="J9" s="977" t="s">
        <v>243</v>
      </c>
      <c r="K9" s="979" t="s">
        <v>591</v>
      </c>
      <c r="L9" s="975" t="s">
        <v>245</v>
      </c>
      <c r="M9" s="975" t="s">
        <v>625</v>
      </c>
      <c r="N9" s="980" t="s">
        <v>351</v>
      </c>
      <c r="O9" s="981">
        <v>0</v>
      </c>
      <c r="P9" s="982" t="s">
        <v>245</v>
      </c>
      <c r="Q9" s="978" t="s">
        <v>245</v>
      </c>
      <c r="R9" s="983">
        <f>Rates!C384</f>
        <v>0.29899999999999999</v>
      </c>
      <c r="S9" s="978" t="s">
        <v>19</v>
      </c>
      <c r="T9"/>
      <c r="U9" s="978" t="s">
        <v>244</v>
      </c>
      <c r="V9" s="978" t="s">
        <v>631</v>
      </c>
      <c r="W9" s="267"/>
      <c r="X9" s="267"/>
      <c r="Y9" s="267"/>
      <c r="Z9" s="267"/>
      <c r="AA9" s="267"/>
      <c r="AB9" s="267"/>
      <c r="AC9" s="267"/>
      <c r="AD9" s="267"/>
      <c r="AE9" s="496"/>
      <c r="AF9" s="496"/>
      <c r="AG9" s="541"/>
      <c r="AH9" s="496"/>
      <c r="AI9" s="496"/>
      <c r="AJ9" s="496"/>
      <c r="AK9" s="496"/>
    </row>
    <row r="10" spans="1:37" ht="25.5" customHeight="1" x14ac:dyDescent="0.2">
      <c r="A10" s="38">
        <v>1</v>
      </c>
      <c r="B10" s="985"/>
      <c r="C10" s="808"/>
      <c r="D10" s="808"/>
      <c r="E10" s="986"/>
      <c r="F10" s="987"/>
      <c r="G10" s="133"/>
      <c r="H10" s="793" t="s">
        <v>632</v>
      </c>
      <c r="I10" s="1124">
        <f>ROUND(J10,2)</f>
        <v>0</v>
      </c>
      <c r="J10" s="988"/>
      <c r="K10" s="388"/>
      <c r="L10" s="446"/>
      <c r="M10" s="390"/>
      <c r="N10" s="390"/>
      <c r="O10" s="991">
        <f t="shared" ref="O10:O19" si="0">IF(H10="y",0,((L10+N10)*$O$9))</f>
        <v>0</v>
      </c>
      <c r="P10" s="989">
        <f>IF(F10="y",((((L10+M10+N10+O10)*I10)*Rates!$C$379))/12,(((L10+M10+N10+O10)*I10)/12))</f>
        <v>0</v>
      </c>
      <c r="Q10" s="990">
        <f>P10*K10</f>
        <v>0</v>
      </c>
      <c r="R10" s="992">
        <f t="shared" ref="R10:R19" si="1">Q10*$R$9</f>
        <v>0</v>
      </c>
      <c r="S10" s="993">
        <f t="shared" ref="S10:S19" si="2">SUM(R10:R10)</f>
        <v>0</v>
      </c>
      <c r="T10"/>
      <c r="U10" s="994"/>
      <c r="V10" s="995"/>
      <c r="W10" s="267"/>
      <c r="X10" s="267"/>
      <c r="Y10" s="267"/>
      <c r="Z10" s="267"/>
      <c r="AA10" s="267"/>
      <c r="AB10" s="267"/>
      <c r="AC10" s="267"/>
      <c r="AD10" s="267"/>
      <c r="AJ10" s="496"/>
      <c r="AK10" s="496"/>
    </row>
    <row r="11" spans="1:37" ht="25.5" customHeight="1" x14ac:dyDescent="0.2">
      <c r="A11" s="38">
        <v>2</v>
      </c>
      <c r="B11" s="985"/>
      <c r="C11" s="995"/>
      <c r="D11" s="995"/>
      <c r="E11" s="986"/>
      <c r="F11" s="994"/>
      <c r="G11" s="133"/>
      <c r="H11" s="793" t="s">
        <v>632</v>
      </c>
      <c r="I11" s="1124">
        <f t="shared" ref="I11:I74" si="3">ROUND(J11,2)</f>
        <v>0</v>
      </c>
      <c r="J11" s="988"/>
      <c r="K11" s="388"/>
      <c r="L11" s="446"/>
      <c r="M11" s="390"/>
      <c r="N11" s="390"/>
      <c r="O11" s="991">
        <f t="shared" si="0"/>
        <v>0</v>
      </c>
      <c r="P11" s="989">
        <f>IF(F11="y",((((L11+M11+N11+O11)*I11)*Rates!$C$379))/12,(((L11+M11+N11+O11)*I11)/12))</f>
        <v>0</v>
      </c>
      <c r="Q11" s="990">
        <f t="shared" ref="Q11:Q19" si="4">P11*K11</f>
        <v>0</v>
      </c>
      <c r="R11" s="992">
        <f t="shared" si="1"/>
        <v>0</v>
      </c>
      <c r="S11" s="993">
        <f t="shared" si="2"/>
        <v>0</v>
      </c>
      <c r="T11"/>
      <c r="U11" s="994"/>
      <c r="V11" s="995"/>
      <c r="W11" s="267"/>
      <c r="X11" s="267"/>
      <c r="Y11" s="267"/>
      <c r="Z11" s="267"/>
      <c r="AA11" s="267"/>
      <c r="AB11" s="267"/>
      <c r="AC11" s="267"/>
      <c r="AD11" s="267"/>
    </row>
    <row r="12" spans="1:37" ht="25.5" customHeight="1" x14ac:dyDescent="0.2">
      <c r="A12" s="38">
        <v>3</v>
      </c>
      <c r="B12" s="985"/>
      <c r="C12" s="995"/>
      <c r="D12" s="995"/>
      <c r="E12" s="986"/>
      <c r="F12" s="994"/>
      <c r="G12" s="133"/>
      <c r="H12" s="793" t="s">
        <v>632</v>
      </c>
      <c r="I12" s="1124">
        <f t="shared" si="3"/>
        <v>0</v>
      </c>
      <c r="J12" s="988"/>
      <c r="K12" s="388"/>
      <c r="L12" s="446"/>
      <c r="M12" s="390"/>
      <c r="N12" s="390"/>
      <c r="O12" s="991">
        <f t="shared" si="0"/>
        <v>0</v>
      </c>
      <c r="P12" s="989">
        <f>IF(F12="y",((((L12+M12+N12+O12)*I12)*Rates!$C$379))/12,(((L12+M12+N12+O12)*I12)/12))</f>
        <v>0</v>
      </c>
      <c r="Q12" s="990">
        <f t="shared" si="4"/>
        <v>0</v>
      </c>
      <c r="R12" s="992">
        <f t="shared" si="1"/>
        <v>0</v>
      </c>
      <c r="S12" s="993">
        <f t="shared" si="2"/>
        <v>0</v>
      </c>
      <c r="T12"/>
      <c r="U12" s="994"/>
      <c r="V12" s="995"/>
      <c r="W12" s="267"/>
      <c r="X12" s="267"/>
      <c r="Y12" s="267"/>
      <c r="Z12" s="267"/>
      <c r="AA12" s="267"/>
      <c r="AB12" s="267"/>
      <c r="AC12" s="267"/>
      <c r="AD12" s="267"/>
    </row>
    <row r="13" spans="1:37" ht="25.5" customHeight="1" x14ac:dyDescent="0.2">
      <c r="A13" s="38">
        <v>4</v>
      </c>
      <c r="B13" s="985"/>
      <c r="C13" s="495"/>
      <c r="D13" s="995"/>
      <c r="E13" s="986"/>
      <c r="F13" s="994"/>
      <c r="G13" s="133"/>
      <c r="H13" s="793" t="s">
        <v>632</v>
      </c>
      <c r="I13" s="1124">
        <f t="shared" si="3"/>
        <v>0</v>
      </c>
      <c r="J13" s="988"/>
      <c r="K13" s="388"/>
      <c r="L13" s="446"/>
      <c r="M13" s="390"/>
      <c r="N13" s="390"/>
      <c r="O13" s="991">
        <f t="shared" si="0"/>
        <v>0</v>
      </c>
      <c r="P13" s="989">
        <f>IF(F13="y",((((L13+M13+N13+O13)*I13)*Rates!$C$379))/12,(((L13+M13+N13+O13)*I13)/12))</f>
        <v>0</v>
      </c>
      <c r="Q13" s="990">
        <f t="shared" si="4"/>
        <v>0</v>
      </c>
      <c r="R13" s="992">
        <f t="shared" si="1"/>
        <v>0</v>
      </c>
      <c r="S13" s="993">
        <f t="shared" si="2"/>
        <v>0</v>
      </c>
      <c r="T13"/>
      <c r="U13" s="994"/>
      <c r="V13" s="995"/>
      <c r="W13" s="267"/>
      <c r="X13" s="267"/>
      <c r="Y13" s="267"/>
      <c r="Z13" s="267"/>
      <c r="AA13" s="267"/>
      <c r="AB13" s="267"/>
      <c r="AC13" s="267"/>
      <c r="AD13" s="267"/>
    </row>
    <row r="14" spans="1:37" ht="25.5" customHeight="1" x14ac:dyDescent="0.2">
      <c r="A14" s="38">
        <v>5</v>
      </c>
      <c r="B14" s="985"/>
      <c r="C14" s="995"/>
      <c r="D14" s="995"/>
      <c r="E14" s="986"/>
      <c r="F14" s="994"/>
      <c r="G14" s="133"/>
      <c r="H14" s="793" t="s">
        <v>632</v>
      </c>
      <c r="I14" s="1124">
        <f t="shared" si="3"/>
        <v>0</v>
      </c>
      <c r="J14" s="988"/>
      <c r="K14" s="388"/>
      <c r="L14" s="446"/>
      <c r="M14" s="390"/>
      <c r="N14" s="390"/>
      <c r="O14" s="991">
        <f t="shared" si="0"/>
        <v>0</v>
      </c>
      <c r="P14" s="989">
        <f>IF(F14="y",((((L14+M14+N14+O14)*I14)*Rates!$C$379))/12,(((L14+M14+N14+O14)*I14)/12))</f>
        <v>0</v>
      </c>
      <c r="Q14" s="990">
        <f t="shared" si="4"/>
        <v>0</v>
      </c>
      <c r="R14" s="992">
        <f t="shared" si="1"/>
        <v>0</v>
      </c>
      <c r="S14" s="993">
        <f t="shared" si="2"/>
        <v>0</v>
      </c>
      <c r="T14"/>
      <c r="U14" s="994"/>
      <c r="V14" s="995"/>
      <c r="W14" s="267"/>
      <c r="X14" s="267"/>
      <c r="Y14" s="267"/>
      <c r="Z14" s="267"/>
      <c r="AA14" s="267"/>
      <c r="AB14" s="267"/>
      <c r="AC14" s="267"/>
      <c r="AD14" s="267"/>
    </row>
    <row r="15" spans="1:37" ht="25.5" customHeight="1" x14ac:dyDescent="0.2">
      <c r="A15" s="38">
        <v>6</v>
      </c>
      <c r="B15" s="985"/>
      <c r="C15" s="995"/>
      <c r="D15" s="995"/>
      <c r="E15" s="986"/>
      <c r="F15" s="994"/>
      <c r="G15" s="133"/>
      <c r="H15" s="793" t="s">
        <v>632</v>
      </c>
      <c r="I15" s="1124">
        <f t="shared" si="3"/>
        <v>0</v>
      </c>
      <c r="J15" s="988"/>
      <c r="K15" s="388"/>
      <c r="L15" s="446"/>
      <c r="M15" s="390"/>
      <c r="N15" s="390"/>
      <c r="O15" s="991">
        <f t="shared" si="0"/>
        <v>0</v>
      </c>
      <c r="P15" s="989">
        <f>IF(F15="y",((((L15+M15+N15+O15)*I15)*Rates!$C$379))/12,(((L15+M15+N15+O15)*I15)/12))</f>
        <v>0</v>
      </c>
      <c r="Q15" s="990">
        <f t="shared" si="4"/>
        <v>0</v>
      </c>
      <c r="R15" s="992">
        <f t="shared" si="1"/>
        <v>0</v>
      </c>
      <c r="S15" s="993">
        <f t="shared" si="2"/>
        <v>0</v>
      </c>
      <c r="T15"/>
      <c r="U15" s="994"/>
      <c r="V15" s="995"/>
      <c r="W15" s="267"/>
      <c r="X15" s="267"/>
      <c r="Y15" s="267"/>
      <c r="Z15" s="267"/>
      <c r="AA15" s="267"/>
      <c r="AB15" s="267"/>
      <c r="AC15" s="267"/>
      <c r="AD15" s="267"/>
    </row>
    <row r="16" spans="1:37" ht="25.5" customHeight="1" x14ac:dyDescent="0.2">
      <c r="A16" s="38">
        <v>7</v>
      </c>
      <c r="B16" s="985"/>
      <c r="C16" s="995"/>
      <c r="D16" s="995"/>
      <c r="E16" s="986"/>
      <c r="F16" s="994"/>
      <c r="G16" s="133"/>
      <c r="H16" s="793" t="s">
        <v>632</v>
      </c>
      <c r="I16" s="1124">
        <f t="shared" si="3"/>
        <v>0</v>
      </c>
      <c r="J16" s="988"/>
      <c r="K16" s="388"/>
      <c r="L16" s="446"/>
      <c r="M16" s="390"/>
      <c r="N16" s="390"/>
      <c r="O16" s="991">
        <f t="shared" si="0"/>
        <v>0</v>
      </c>
      <c r="P16" s="989">
        <f>IF(F16="y",((((L16+M16+N16+O16)*I16)*Rates!$C$379))/12,(((L16+M16+N16+O16)*I16)/12))</f>
        <v>0</v>
      </c>
      <c r="Q16" s="990">
        <f t="shared" si="4"/>
        <v>0</v>
      </c>
      <c r="R16" s="992">
        <f t="shared" si="1"/>
        <v>0</v>
      </c>
      <c r="S16" s="993">
        <f t="shared" si="2"/>
        <v>0</v>
      </c>
      <c r="T16"/>
      <c r="U16" s="994"/>
      <c r="V16" s="995"/>
      <c r="W16" s="267"/>
      <c r="X16" s="267"/>
      <c r="Y16" s="267"/>
      <c r="Z16" s="267"/>
      <c r="AA16" s="267"/>
      <c r="AB16" s="267"/>
      <c r="AC16" s="267"/>
      <c r="AD16" s="267"/>
    </row>
    <row r="17" spans="1:30" ht="25.5" customHeight="1" x14ac:dyDescent="0.2">
      <c r="A17" s="38">
        <v>8</v>
      </c>
      <c r="B17" s="985"/>
      <c r="C17" s="995"/>
      <c r="D17" s="995"/>
      <c r="E17" s="986"/>
      <c r="F17" s="994"/>
      <c r="G17" s="133"/>
      <c r="H17" s="793" t="s">
        <v>632</v>
      </c>
      <c r="I17" s="1124">
        <f t="shared" si="3"/>
        <v>0</v>
      </c>
      <c r="J17" s="988"/>
      <c r="K17" s="388"/>
      <c r="L17" s="446"/>
      <c r="M17" s="390"/>
      <c r="N17" s="390"/>
      <c r="O17" s="991">
        <f t="shared" si="0"/>
        <v>0</v>
      </c>
      <c r="P17" s="989">
        <f>IF(F17="y",((((L17+M17+N17+O17)*I17)*Rates!$C$379))/12,(((L17+M17+N17+O17)*I17)/12))</f>
        <v>0</v>
      </c>
      <c r="Q17" s="990">
        <f t="shared" si="4"/>
        <v>0</v>
      </c>
      <c r="R17" s="992">
        <f t="shared" si="1"/>
        <v>0</v>
      </c>
      <c r="S17" s="993">
        <f t="shared" si="2"/>
        <v>0</v>
      </c>
      <c r="T17"/>
      <c r="U17" s="994"/>
      <c r="V17" s="995"/>
      <c r="W17" s="267"/>
      <c r="X17" s="267"/>
      <c r="Y17" s="267"/>
      <c r="Z17" s="267"/>
      <c r="AA17" s="267"/>
      <c r="AB17" s="267"/>
      <c r="AC17" s="267"/>
      <c r="AD17" s="267"/>
    </row>
    <row r="18" spans="1:30" ht="25.5" customHeight="1" x14ac:dyDescent="0.2">
      <c r="A18" s="38">
        <v>9</v>
      </c>
      <c r="B18" s="985"/>
      <c r="C18" s="995"/>
      <c r="D18" s="995"/>
      <c r="E18" s="986"/>
      <c r="F18" s="994"/>
      <c r="G18" s="133"/>
      <c r="H18" s="793" t="s">
        <v>632</v>
      </c>
      <c r="I18" s="1124">
        <f t="shared" si="3"/>
        <v>0</v>
      </c>
      <c r="J18" s="988"/>
      <c r="K18" s="388"/>
      <c r="L18" s="446"/>
      <c r="M18" s="390"/>
      <c r="N18" s="390"/>
      <c r="O18" s="991">
        <f t="shared" si="0"/>
        <v>0</v>
      </c>
      <c r="P18" s="989">
        <f>IF(F18="y",((((L18+M18+N18+O18)*I18)*Rates!$C$379))/12,(((L18+M18+N18+O18)*I18)/12))</f>
        <v>0</v>
      </c>
      <c r="Q18" s="990">
        <f t="shared" si="4"/>
        <v>0</v>
      </c>
      <c r="R18" s="992">
        <f t="shared" si="1"/>
        <v>0</v>
      </c>
      <c r="S18" s="993">
        <f t="shared" si="2"/>
        <v>0</v>
      </c>
      <c r="T18"/>
      <c r="U18" s="994"/>
      <c r="V18" s="995"/>
      <c r="W18" s="267"/>
      <c r="X18" s="267"/>
      <c r="Y18" s="267"/>
      <c r="Z18" s="267"/>
      <c r="AA18" s="267"/>
      <c r="AB18" s="267"/>
      <c r="AC18" s="267"/>
      <c r="AD18" s="267"/>
    </row>
    <row r="19" spans="1:30" ht="26.25" customHeight="1" x14ac:dyDescent="0.2">
      <c r="A19" s="38">
        <v>10</v>
      </c>
      <c r="B19" s="985"/>
      <c r="C19" s="995"/>
      <c r="D19" s="995"/>
      <c r="E19" s="986"/>
      <c r="F19" s="994"/>
      <c r="G19" s="133"/>
      <c r="H19" s="793" t="s">
        <v>632</v>
      </c>
      <c r="I19" s="1124">
        <f t="shared" si="3"/>
        <v>0</v>
      </c>
      <c r="J19" s="988"/>
      <c r="K19" s="388"/>
      <c r="L19" s="446"/>
      <c r="M19" s="390"/>
      <c r="N19" s="390"/>
      <c r="O19" s="991">
        <f t="shared" si="0"/>
        <v>0</v>
      </c>
      <c r="P19" s="989">
        <f>IF(F19="y",((((L19+M19+N19+O19)*I19)*Rates!$C$379))/12,(((L19+M19+N19+O19)*I19)/12))</f>
        <v>0</v>
      </c>
      <c r="Q19" s="990">
        <f t="shared" si="4"/>
        <v>0</v>
      </c>
      <c r="R19" s="992">
        <f t="shared" si="1"/>
        <v>0</v>
      </c>
      <c r="S19" s="993">
        <f t="shared" si="2"/>
        <v>0</v>
      </c>
      <c r="T19"/>
      <c r="U19" s="994"/>
      <c r="V19" s="995"/>
      <c r="W19" s="267"/>
      <c r="X19" s="267"/>
      <c r="Y19" s="267"/>
      <c r="Z19" s="267"/>
      <c r="AA19" s="267"/>
      <c r="AB19" s="267"/>
      <c r="AC19" s="267"/>
      <c r="AD19" s="267"/>
    </row>
    <row r="20" spans="1:30" ht="26.25" hidden="1" customHeight="1" x14ac:dyDescent="0.2">
      <c r="A20" s="38">
        <v>11</v>
      </c>
      <c r="B20" s="985"/>
      <c r="C20" s="995"/>
      <c r="D20" s="995"/>
      <c r="E20" s="986"/>
      <c r="F20" s="994"/>
      <c r="G20" s="133"/>
      <c r="H20" s="793" t="s">
        <v>632</v>
      </c>
      <c r="I20" s="1124">
        <f t="shared" si="3"/>
        <v>0</v>
      </c>
      <c r="J20" s="988"/>
      <c r="K20" s="388"/>
      <c r="L20" s="446"/>
      <c r="M20" s="390"/>
      <c r="N20" s="390"/>
      <c r="O20" s="991">
        <f t="shared" ref="O20:O83" si="5">IF(H20="y",0,((L20+N20)*$O$9))</f>
        <v>0</v>
      </c>
      <c r="P20" s="989">
        <f>IF(F20="y",((((L20+M20+N20+O20)*I20)*Rates!$C$379))/12,(((L20+M20+N20+O20)*I20)/12))</f>
        <v>0</v>
      </c>
      <c r="Q20" s="990">
        <f t="shared" ref="Q20:Q83" si="6">P20*K20</f>
        <v>0</v>
      </c>
      <c r="R20" s="992">
        <f t="shared" ref="R20:R83" si="7">Q20*$R$9</f>
        <v>0</v>
      </c>
      <c r="S20" s="993">
        <f t="shared" ref="S20:S83" si="8">SUM(R20:R20)</f>
        <v>0</v>
      </c>
      <c r="T20"/>
      <c r="U20" s="994"/>
      <c r="V20" s="995"/>
      <c r="W20" s="267"/>
      <c r="X20" s="267"/>
      <c r="Y20" s="267"/>
      <c r="Z20" s="267"/>
      <c r="AA20" s="267"/>
      <c r="AB20" s="267"/>
      <c r="AC20" s="267"/>
      <c r="AD20" s="267"/>
    </row>
    <row r="21" spans="1:30" ht="26.25" hidden="1" customHeight="1" x14ac:dyDescent="0.2">
      <c r="A21" s="38">
        <v>12</v>
      </c>
      <c r="B21" s="985"/>
      <c r="C21" s="995"/>
      <c r="D21" s="995"/>
      <c r="E21" s="986"/>
      <c r="F21" s="994"/>
      <c r="G21" s="133"/>
      <c r="H21" s="793" t="s">
        <v>632</v>
      </c>
      <c r="I21" s="1124">
        <f t="shared" si="3"/>
        <v>0</v>
      </c>
      <c r="J21" s="988"/>
      <c r="K21" s="388"/>
      <c r="L21" s="446"/>
      <c r="M21" s="390"/>
      <c r="N21" s="390"/>
      <c r="O21" s="991">
        <f t="shared" si="5"/>
        <v>0</v>
      </c>
      <c r="P21" s="989">
        <f>IF(F21="y",((((L21+M21+N21+O21)*I21)*Rates!$C$379))/12,(((L21+M21+N21+O21)*I21)/12))</f>
        <v>0</v>
      </c>
      <c r="Q21" s="990">
        <f t="shared" si="6"/>
        <v>0</v>
      </c>
      <c r="R21" s="992">
        <f t="shared" si="7"/>
        <v>0</v>
      </c>
      <c r="S21" s="993">
        <f t="shared" si="8"/>
        <v>0</v>
      </c>
      <c r="T21"/>
      <c r="U21" s="994"/>
      <c r="V21" s="995"/>
      <c r="W21" s="267"/>
      <c r="X21" s="267"/>
      <c r="Y21" s="267"/>
      <c r="Z21" s="267"/>
      <c r="AA21" s="267"/>
      <c r="AB21" s="267"/>
      <c r="AC21" s="267"/>
      <c r="AD21" s="267"/>
    </row>
    <row r="22" spans="1:30" ht="26.25" hidden="1" customHeight="1" x14ac:dyDescent="0.2">
      <c r="A22" s="38">
        <v>13</v>
      </c>
      <c r="B22" s="985"/>
      <c r="C22" s="995"/>
      <c r="D22" s="995"/>
      <c r="E22" s="986"/>
      <c r="F22" s="994"/>
      <c r="G22" s="133"/>
      <c r="H22" s="793" t="s">
        <v>632</v>
      </c>
      <c r="I22" s="1124">
        <f t="shared" si="3"/>
        <v>0</v>
      </c>
      <c r="J22" s="988"/>
      <c r="K22" s="388"/>
      <c r="L22" s="446"/>
      <c r="M22" s="390"/>
      <c r="N22" s="390"/>
      <c r="O22" s="991">
        <f t="shared" si="5"/>
        <v>0</v>
      </c>
      <c r="P22" s="989">
        <f>IF(F22="y",((((L22+M22+N22+O22)*I22)*Rates!$C$379))/12,(((L22+M22+N22+O22)*I22)/12))</f>
        <v>0</v>
      </c>
      <c r="Q22" s="990">
        <f t="shared" si="6"/>
        <v>0</v>
      </c>
      <c r="R22" s="992">
        <f t="shared" si="7"/>
        <v>0</v>
      </c>
      <c r="S22" s="993">
        <f t="shared" si="8"/>
        <v>0</v>
      </c>
      <c r="T22"/>
      <c r="U22" s="994"/>
      <c r="V22" s="995"/>
      <c r="W22" s="267"/>
      <c r="X22" s="267"/>
      <c r="Y22" s="267"/>
      <c r="Z22" s="267"/>
      <c r="AA22" s="267"/>
      <c r="AB22" s="267"/>
      <c r="AC22" s="267"/>
      <c r="AD22" s="267"/>
    </row>
    <row r="23" spans="1:30" ht="26.25" hidden="1" customHeight="1" x14ac:dyDescent="0.2">
      <c r="A23" s="38">
        <v>14</v>
      </c>
      <c r="B23" s="985"/>
      <c r="C23" s="995"/>
      <c r="D23" s="995"/>
      <c r="E23" s="986"/>
      <c r="F23" s="994"/>
      <c r="G23" s="133"/>
      <c r="H23" s="793" t="s">
        <v>632</v>
      </c>
      <c r="I23" s="1124">
        <f t="shared" si="3"/>
        <v>0</v>
      </c>
      <c r="J23" s="988"/>
      <c r="K23" s="388"/>
      <c r="L23" s="446"/>
      <c r="M23" s="390"/>
      <c r="N23" s="390"/>
      <c r="O23" s="991">
        <f t="shared" si="5"/>
        <v>0</v>
      </c>
      <c r="P23" s="989">
        <f>IF(F23="y",((((L23+M23+N23+O23)*I23)*Rates!$C$379))/12,(((L23+M23+N23+O23)*I23)/12))</f>
        <v>0</v>
      </c>
      <c r="Q23" s="990">
        <f t="shared" si="6"/>
        <v>0</v>
      </c>
      <c r="R23" s="992">
        <f t="shared" si="7"/>
        <v>0</v>
      </c>
      <c r="S23" s="993">
        <f t="shared" si="8"/>
        <v>0</v>
      </c>
      <c r="T23"/>
      <c r="U23" s="994"/>
      <c r="V23" s="995"/>
      <c r="W23" s="267"/>
      <c r="X23" s="267"/>
      <c r="Y23" s="267"/>
      <c r="Z23" s="267"/>
      <c r="AA23" s="267"/>
      <c r="AB23" s="267"/>
      <c r="AC23" s="267"/>
      <c r="AD23" s="267"/>
    </row>
    <row r="24" spans="1:30" ht="26.25" hidden="1" customHeight="1" x14ac:dyDescent="0.2">
      <c r="A24" s="38">
        <v>15</v>
      </c>
      <c r="B24" s="985"/>
      <c r="C24" s="995"/>
      <c r="D24" s="995"/>
      <c r="E24" s="986"/>
      <c r="F24" s="994"/>
      <c r="G24" s="133"/>
      <c r="H24" s="793" t="s">
        <v>632</v>
      </c>
      <c r="I24" s="1124">
        <f t="shared" si="3"/>
        <v>0</v>
      </c>
      <c r="J24" s="988"/>
      <c r="K24" s="388"/>
      <c r="L24" s="446"/>
      <c r="M24" s="390"/>
      <c r="N24" s="390"/>
      <c r="O24" s="991">
        <f t="shared" si="5"/>
        <v>0</v>
      </c>
      <c r="P24" s="989">
        <f>IF(F24="y",((((L24+M24+N24+O24)*I24)*Rates!$C$379))/12,(((L24+M24+N24+O24)*I24)/12))</f>
        <v>0</v>
      </c>
      <c r="Q24" s="990">
        <f t="shared" si="6"/>
        <v>0</v>
      </c>
      <c r="R24" s="992">
        <f t="shared" si="7"/>
        <v>0</v>
      </c>
      <c r="S24" s="993">
        <f t="shared" si="8"/>
        <v>0</v>
      </c>
      <c r="T24"/>
      <c r="U24" s="994"/>
      <c r="V24" s="995"/>
      <c r="W24" s="267"/>
      <c r="X24" s="267"/>
      <c r="Y24" s="267"/>
      <c r="Z24" s="267"/>
      <c r="AA24" s="267"/>
      <c r="AB24" s="267"/>
      <c r="AC24" s="267"/>
      <c r="AD24" s="267"/>
    </row>
    <row r="25" spans="1:30" ht="26.25" hidden="1" customHeight="1" x14ac:dyDescent="0.2">
      <c r="A25" s="38">
        <v>16</v>
      </c>
      <c r="B25" s="985"/>
      <c r="C25" s="995"/>
      <c r="D25" s="995"/>
      <c r="E25" s="986"/>
      <c r="F25" s="994"/>
      <c r="G25" s="133"/>
      <c r="H25" s="793" t="s">
        <v>632</v>
      </c>
      <c r="I25" s="1124">
        <f t="shared" si="3"/>
        <v>0</v>
      </c>
      <c r="J25" s="391"/>
      <c r="K25" s="388"/>
      <c r="L25" s="996"/>
      <c r="M25" s="390"/>
      <c r="N25" s="390"/>
      <c r="O25" s="991">
        <f t="shared" si="5"/>
        <v>0</v>
      </c>
      <c r="P25" s="989">
        <f>IF(F25="y",((((L25+M25+N25+O25)*I25)*Rates!$C$379))/12,(((L25+M25+N25+O25)*I25)/12))</f>
        <v>0</v>
      </c>
      <c r="Q25" s="990">
        <f t="shared" si="6"/>
        <v>0</v>
      </c>
      <c r="R25" s="992">
        <f t="shared" si="7"/>
        <v>0</v>
      </c>
      <c r="S25" s="993">
        <f t="shared" si="8"/>
        <v>0</v>
      </c>
      <c r="T25"/>
      <c r="U25" s="994"/>
      <c r="V25" s="995"/>
      <c r="W25" s="267"/>
      <c r="X25" s="267"/>
      <c r="Y25" s="267"/>
      <c r="Z25" s="267"/>
      <c r="AA25" s="267"/>
      <c r="AB25" s="267"/>
      <c r="AC25" s="267"/>
      <c r="AD25" s="267"/>
    </row>
    <row r="26" spans="1:30" ht="26.25" hidden="1" customHeight="1" x14ac:dyDescent="0.2">
      <c r="A26" s="38">
        <v>17</v>
      </c>
      <c r="B26" s="985"/>
      <c r="C26" s="995"/>
      <c r="D26" s="995"/>
      <c r="E26" s="986"/>
      <c r="F26" s="994"/>
      <c r="G26" s="133"/>
      <c r="H26" s="793" t="s">
        <v>632</v>
      </c>
      <c r="I26" s="1124">
        <f t="shared" si="3"/>
        <v>0</v>
      </c>
      <c r="J26" s="391"/>
      <c r="K26" s="388"/>
      <c r="L26" s="996"/>
      <c r="M26" s="390"/>
      <c r="N26" s="390"/>
      <c r="O26" s="991">
        <f t="shared" si="5"/>
        <v>0</v>
      </c>
      <c r="P26" s="989">
        <f>IF(F26="y",((((L26+M26+N26+O26)*I26)*Rates!$C$379))/12,(((L26+M26+N26+O26)*I26)/12))</f>
        <v>0</v>
      </c>
      <c r="Q26" s="990">
        <f t="shared" si="6"/>
        <v>0</v>
      </c>
      <c r="R26" s="992">
        <f t="shared" si="7"/>
        <v>0</v>
      </c>
      <c r="S26" s="993">
        <f t="shared" si="8"/>
        <v>0</v>
      </c>
      <c r="T26"/>
      <c r="U26" s="994"/>
      <c r="V26" s="995"/>
      <c r="W26" s="267"/>
      <c r="X26" s="267"/>
      <c r="Y26" s="267"/>
      <c r="Z26" s="267"/>
      <c r="AA26" s="267"/>
      <c r="AB26" s="267"/>
      <c r="AC26" s="267"/>
      <c r="AD26" s="267"/>
    </row>
    <row r="27" spans="1:30" ht="26.25" hidden="1" customHeight="1" x14ac:dyDescent="0.2">
      <c r="A27" s="38">
        <v>18</v>
      </c>
      <c r="B27" s="985"/>
      <c r="C27" s="995"/>
      <c r="D27" s="995"/>
      <c r="E27" s="986"/>
      <c r="F27" s="994"/>
      <c r="G27" s="133"/>
      <c r="H27" s="793" t="s">
        <v>632</v>
      </c>
      <c r="I27" s="1124">
        <f t="shared" si="3"/>
        <v>0</v>
      </c>
      <c r="J27" s="391"/>
      <c r="K27" s="388"/>
      <c r="L27" s="996"/>
      <c r="M27" s="390"/>
      <c r="N27" s="390"/>
      <c r="O27" s="991">
        <f t="shared" si="5"/>
        <v>0</v>
      </c>
      <c r="P27" s="989">
        <f>IF(F27="y",((((L27+M27+N27+O27)*I27)*Rates!$C$379))/12,(((L27+M27+N27+O27)*I27)/12))</f>
        <v>0</v>
      </c>
      <c r="Q27" s="990">
        <f t="shared" si="6"/>
        <v>0</v>
      </c>
      <c r="R27" s="992">
        <f t="shared" si="7"/>
        <v>0</v>
      </c>
      <c r="S27" s="993">
        <f t="shared" si="8"/>
        <v>0</v>
      </c>
      <c r="T27"/>
      <c r="U27" s="994"/>
      <c r="V27" s="995"/>
      <c r="W27" s="267"/>
      <c r="X27" s="267"/>
      <c r="Y27" s="267"/>
      <c r="Z27" s="267"/>
      <c r="AA27" s="267"/>
      <c r="AB27" s="267"/>
      <c r="AC27" s="267"/>
      <c r="AD27" s="267"/>
    </row>
    <row r="28" spans="1:30" ht="26.25" hidden="1" customHeight="1" x14ac:dyDescent="0.2">
      <c r="A28" s="38">
        <v>19</v>
      </c>
      <c r="B28" s="985"/>
      <c r="C28" s="995"/>
      <c r="D28" s="995"/>
      <c r="E28" s="986"/>
      <c r="F28" s="994"/>
      <c r="G28" s="133"/>
      <c r="H28" s="793" t="s">
        <v>632</v>
      </c>
      <c r="I28" s="1124">
        <f t="shared" si="3"/>
        <v>0</v>
      </c>
      <c r="J28" s="391"/>
      <c r="K28" s="388"/>
      <c r="L28" s="996"/>
      <c r="M28" s="390"/>
      <c r="N28" s="390"/>
      <c r="O28" s="991">
        <f t="shared" si="5"/>
        <v>0</v>
      </c>
      <c r="P28" s="989">
        <f>IF(F28="y",((((L28+M28+N28+O28)*I28)*Rates!$C$379))/12,(((L28+M28+N28+O28)*I28)/12))</f>
        <v>0</v>
      </c>
      <c r="Q28" s="990">
        <f t="shared" si="6"/>
        <v>0</v>
      </c>
      <c r="R28" s="992">
        <f t="shared" si="7"/>
        <v>0</v>
      </c>
      <c r="S28" s="993">
        <f t="shared" si="8"/>
        <v>0</v>
      </c>
      <c r="T28"/>
      <c r="U28" s="994"/>
      <c r="V28" s="995"/>
      <c r="W28" s="267"/>
      <c r="X28" s="267"/>
      <c r="Y28" s="267"/>
      <c r="Z28" s="267"/>
      <c r="AA28" s="267"/>
      <c r="AB28" s="267"/>
      <c r="AC28" s="267"/>
      <c r="AD28" s="267"/>
    </row>
    <row r="29" spans="1:30" ht="26.25" hidden="1" customHeight="1" x14ac:dyDescent="0.2">
      <c r="A29" s="38">
        <v>20</v>
      </c>
      <c r="B29" s="985"/>
      <c r="C29" s="995"/>
      <c r="D29" s="995"/>
      <c r="E29" s="986"/>
      <c r="F29" s="994"/>
      <c r="G29" s="133"/>
      <c r="H29" s="793" t="s">
        <v>632</v>
      </c>
      <c r="I29" s="1124">
        <f t="shared" si="3"/>
        <v>0</v>
      </c>
      <c r="J29" s="391"/>
      <c r="K29" s="388"/>
      <c r="L29" s="996"/>
      <c r="M29" s="390"/>
      <c r="N29" s="390"/>
      <c r="O29" s="991">
        <f t="shared" si="5"/>
        <v>0</v>
      </c>
      <c r="P29" s="989">
        <f>IF(F29="y",((((L29+M29+N29+O29)*I29)*Rates!$C$379))/12,(((L29+M29+N29+O29)*I29)/12))</f>
        <v>0</v>
      </c>
      <c r="Q29" s="990">
        <f t="shared" si="6"/>
        <v>0</v>
      </c>
      <c r="R29" s="992">
        <f t="shared" si="7"/>
        <v>0</v>
      </c>
      <c r="S29" s="993">
        <f t="shared" si="8"/>
        <v>0</v>
      </c>
      <c r="T29"/>
      <c r="U29" s="994"/>
      <c r="V29" s="995"/>
      <c r="W29" s="267"/>
      <c r="X29" s="267"/>
      <c r="Y29" s="267"/>
      <c r="Z29" s="267"/>
      <c r="AA29" s="267"/>
      <c r="AB29" s="267"/>
      <c r="AC29" s="267"/>
      <c r="AD29" s="267"/>
    </row>
    <row r="30" spans="1:30" ht="26.25" hidden="1" customHeight="1" x14ac:dyDescent="0.2">
      <c r="A30" s="38">
        <v>21</v>
      </c>
      <c r="B30" s="985"/>
      <c r="C30" s="995"/>
      <c r="D30" s="995"/>
      <c r="E30" s="986"/>
      <c r="F30" s="994"/>
      <c r="G30" s="133"/>
      <c r="H30" s="793" t="s">
        <v>632</v>
      </c>
      <c r="I30" s="1124">
        <f t="shared" si="3"/>
        <v>0</v>
      </c>
      <c r="J30" s="391"/>
      <c r="K30" s="388"/>
      <c r="L30" s="996"/>
      <c r="M30" s="390"/>
      <c r="N30" s="390"/>
      <c r="O30" s="991">
        <f t="shared" si="5"/>
        <v>0</v>
      </c>
      <c r="P30" s="989">
        <f>IF(F30="y",((((L30+M30+N30+O30)*I30)*Rates!$C$379))/12,(((L30+M30+N30+O30)*I30)/12))</f>
        <v>0</v>
      </c>
      <c r="Q30" s="990">
        <f t="shared" si="6"/>
        <v>0</v>
      </c>
      <c r="R30" s="992">
        <f t="shared" si="7"/>
        <v>0</v>
      </c>
      <c r="S30" s="993">
        <f t="shared" si="8"/>
        <v>0</v>
      </c>
      <c r="T30"/>
      <c r="U30" s="994"/>
      <c r="V30" s="995"/>
      <c r="W30" s="267"/>
      <c r="X30" s="267"/>
      <c r="Y30" s="267"/>
      <c r="Z30" s="267"/>
      <c r="AA30" s="267"/>
      <c r="AB30" s="267"/>
      <c r="AC30" s="267"/>
      <c r="AD30" s="267"/>
    </row>
    <row r="31" spans="1:30" ht="26.25" hidden="1" customHeight="1" x14ac:dyDescent="0.2">
      <c r="A31" s="38">
        <v>22</v>
      </c>
      <c r="B31" s="985"/>
      <c r="C31" s="995"/>
      <c r="D31" s="995"/>
      <c r="E31" s="986"/>
      <c r="F31" s="994"/>
      <c r="G31" s="133"/>
      <c r="H31" s="793" t="s">
        <v>632</v>
      </c>
      <c r="I31" s="1124">
        <f t="shared" si="3"/>
        <v>0</v>
      </c>
      <c r="J31" s="391"/>
      <c r="K31" s="388"/>
      <c r="L31" s="996"/>
      <c r="M31" s="390"/>
      <c r="N31" s="390"/>
      <c r="O31" s="991">
        <f t="shared" si="5"/>
        <v>0</v>
      </c>
      <c r="P31" s="989">
        <f>IF(F31="y",((((L31+M31+N31+O31)*I31)*Rates!$C$379))/12,(((L31+M31+N31+O31)*I31)/12))</f>
        <v>0</v>
      </c>
      <c r="Q31" s="990">
        <f t="shared" si="6"/>
        <v>0</v>
      </c>
      <c r="R31" s="992">
        <f t="shared" si="7"/>
        <v>0</v>
      </c>
      <c r="S31" s="993">
        <f t="shared" si="8"/>
        <v>0</v>
      </c>
      <c r="T31"/>
      <c r="U31" s="994"/>
      <c r="V31" s="995"/>
      <c r="W31" s="267"/>
      <c r="X31" s="267"/>
      <c r="Y31" s="267"/>
      <c r="Z31" s="267"/>
      <c r="AA31" s="267"/>
      <c r="AB31" s="267"/>
      <c r="AC31" s="267"/>
      <c r="AD31" s="267"/>
    </row>
    <row r="32" spans="1:30" ht="26.25" hidden="1" customHeight="1" x14ac:dyDescent="0.2">
      <c r="A32" s="38">
        <v>23</v>
      </c>
      <c r="B32" s="985"/>
      <c r="C32" s="995"/>
      <c r="D32" s="995"/>
      <c r="E32" s="986"/>
      <c r="F32" s="994"/>
      <c r="G32" s="133"/>
      <c r="H32" s="793" t="s">
        <v>632</v>
      </c>
      <c r="I32" s="1124">
        <f t="shared" si="3"/>
        <v>0</v>
      </c>
      <c r="J32" s="391"/>
      <c r="K32" s="388"/>
      <c r="L32" s="996"/>
      <c r="M32" s="390"/>
      <c r="N32" s="390"/>
      <c r="O32" s="991">
        <f t="shared" si="5"/>
        <v>0</v>
      </c>
      <c r="P32" s="989">
        <f>IF(F32="y",((((L32+M32+N32+O32)*I32)*Rates!$C$379))/12,(((L32+M32+N32+O32)*I32)/12))</f>
        <v>0</v>
      </c>
      <c r="Q32" s="990">
        <f t="shared" si="6"/>
        <v>0</v>
      </c>
      <c r="R32" s="992">
        <f t="shared" si="7"/>
        <v>0</v>
      </c>
      <c r="S32" s="993">
        <f t="shared" si="8"/>
        <v>0</v>
      </c>
      <c r="T32"/>
      <c r="U32" s="994"/>
      <c r="V32" s="995"/>
      <c r="W32" s="267"/>
      <c r="X32" s="267"/>
      <c r="Y32" s="267"/>
      <c r="Z32" s="267"/>
      <c r="AA32" s="267"/>
      <c r="AB32" s="267"/>
      <c r="AC32" s="267"/>
      <c r="AD32" s="267"/>
    </row>
    <row r="33" spans="1:30" ht="26.25" hidden="1" customHeight="1" x14ac:dyDescent="0.2">
      <c r="A33" s="38">
        <v>24</v>
      </c>
      <c r="B33" s="985"/>
      <c r="C33" s="995"/>
      <c r="D33" s="995"/>
      <c r="E33" s="986"/>
      <c r="F33" s="994"/>
      <c r="G33" s="133"/>
      <c r="H33" s="793" t="s">
        <v>632</v>
      </c>
      <c r="I33" s="1124">
        <f t="shared" si="3"/>
        <v>0</v>
      </c>
      <c r="J33" s="391"/>
      <c r="K33" s="388"/>
      <c r="L33" s="996"/>
      <c r="M33" s="390"/>
      <c r="N33" s="390"/>
      <c r="O33" s="991">
        <f t="shared" si="5"/>
        <v>0</v>
      </c>
      <c r="P33" s="989">
        <f>IF(F33="y",((((L33+M33+N33+O33)*I33)*Rates!$C$379))/12,(((L33+M33+N33+O33)*I33)/12))</f>
        <v>0</v>
      </c>
      <c r="Q33" s="990">
        <f t="shared" si="6"/>
        <v>0</v>
      </c>
      <c r="R33" s="992">
        <f t="shared" si="7"/>
        <v>0</v>
      </c>
      <c r="S33" s="993">
        <f t="shared" si="8"/>
        <v>0</v>
      </c>
      <c r="T33"/>
      <c r="U33" s="994"/>
      <c r="V33" s="995"/>
      <c r="W33" s="267"/>
      <c r="X33" s="267"/>
      <c r="Y33" s="267"/>
      <c r="Z33" s="267"/>
      <c r="AA33" s="267"/>
      <c r="AB33" s="267"/>
      <c r="AC33" s="267"/>
      <c r="AD33" s="267"/>
    </row>
    <row r="34" spans="1:30" ht="26.25" hidden="1" customHeight="1" x14ac:dyDescent="0.2">
      <c r="A34" s="38">
        <v>25</v>
      </c>
      <c r="B34" s="985"/>
      <c r="C34" s="995"/>
      <c r="D34" s="995"/>
      <c r="E34" s="986"/>
      <c r="F34" s="994"/>
      <c r="G34" s="133"/>
      <c r="H34" s="793" t="s">
        <v>632</v>
      </c>
      <c r="I34" s="1124">
        <f t="shared" si="3"/>
        <v>0</v>
      </c>
      <c r="J34" s="391"/>
      <c r="K34" s="388"/>
      <c r="L34" s="996"/>
      <c r="M34" s="390"/>
      <c r="N34" s="390"/>
      <c r="O34" s="991">
        <f t="shared" si="5"/>
        <v>0</v>
      </c>
      <c r="P34" s="989">
        <f>IF(F34="y",((((L34+M34+N34+O34)*I34)*Rates!$C$379))/12,(((L34+M34+N34+O34)*I34)/12))</f>
        <v>0</v>
      </c>
      <c r="Q34" s="990">
        <f t="shared" si="6"/>
        <v>0</v>
      </c>
      <c r="R34" s="992">
        <f t="shared" si="7"/>
        <v>0</v>
      </c>
      <c r="S34" s="993">
        <f t="shared" si="8"/>
        <v>0</v>
      </c>
      <c r="T34"/>
      <c r="U34" s="994"/>
      <c r="V34" s="995"/>
      <c r="W34" s="267"/>
      <c r="X34" s="267"/>
      <c r="Y34" s="267"/>
      <c r="Z34" s="267"/>
      <c r="AA34" s="267"/>
      <c r="AB34" s="267"/>
      <c r="AC34" s="267"/>
      <c r="AD34" s="267"/>
    </row>
    <row r="35" spans="1:30" ht="26.25" hidden="1" customHeight="1" x14ac:dyDescent="0.2">
      <c r="A35" s="38">
        <v>26</v>
      </c>
      <c r="B35" s="985"/>
      <c r="C35" s="995"/>
      <c r="D35" s="995"/>
      <c r="E35" s="986"/>
      <c r="F35" s="994"/>
      <c r="G35" s="133"/>
      <c r="H35" s="793" t="s">
        <v>632</v>
      </c>
      <c r="I35" s="1124">
        <f t="shared" si="3"/>
        <v>0</v>
      </c>
      <c r="J35" s="391"/>
      <c r="K35" s="388"/>
      <c r="L35" s="996"/>
      <c r="M35" s="390"/>
      <c r="N35" s="390"/>
      <c r="O35" s="991">
        <f t="shared" si="5"/>
        <v>0</v>
      </c>
      <c r="P35" s="989">
        <f>IF(F35="y",((((L35+M35+N35+O35)*I35)*Rates!$C$379))/12,(((L35+M35+N35+O35)*I35)/12))</f>
        <v>0</v>
      </c>
      <c r="Q35" s="990">
        <f t="shared" si="6"/>
        <v>0</v>
      </c>
      <c r="R35" s="992">
        <f t="shared" si="7"/>
        <v>0</v>
      </c>
      <c r="S35" s="993">
        <f t="shared" si="8"/>
        <v>0</v>
      </c>
      <c r="T35"/>
      <c r="U35" s="994"/>
      <c r="V35" s="995"/>
      <c r="W35" s="267"/>
      <c r="X35" s="267"/>
      <c r="Y35" s="267"/>
      <c r="Z35" s="267"/>
      <c r="AA35" s="267"/>
      <c r="AB35" s="267"/>
      <c r="AC35" s="267"/>
      <c r="AD35" s="267"/>
    </row>
    <row r="36" spans="1:30" ht="26.25" hidden="1" customHeight="1" x14ac:dyDescent="0.2">
      <c r="A36" s="38">
        <v>27</v>
      </c>
      <c r="B36" s="985"/>
      <c r="C36" s="995"/>
      <c r="D36" s="995"/>
      <c r="E36" s="986"/>
      <c r="F36" s="994"/>
      <c r="G36" s="133"/>
      <c r="H36" s="793" t="s">
        <v>632</v>
      </c>
      <c r="I36" s="1124">
        <f t="shared" si="3"/>
        <v>0</v>
      </c>
      <c r="J36" s="391"/>
      <c r="K36" s="388"/>
      <c r="L36" s="996"/>
      <c r="M36" s="390"/>
      <c r="N36" s="390"/>
      <c r="O36" s="991">
        <f t="shared" si="5"/>
        <v>0</v>
      </c>
      <c r="P36" s="989">
        <f>IF(F36="y",((((L36+M36+N36+O36)*I36)*Rates!$C$379))/12,(((L36+M36+N36+O36)*I36)/12))</f>
        <v>0</v>
      </c>
      <c r="Q36" s="990">
        <f t="shared" si="6"/>
        <v>0</v>
      </c>
      <c r="R36" s="992">
        <f t="shared" si="7"/>
        <v>0</v>
      </c>
      <c r="S36" s="993">
        <f t="shared" si="8"/>
        <v>0</v>
      </c>
      <c r="T36"/>
      <c r="U36" s="994"/>
      <c r="V36" s="995"/>
      <c r="W36" s="267"/>
      <c r="X36" s="267"/>
      <c r="Y36" s="267"/>
      <c r="Z36" s="267"/>
      <c r="AA36" s="267"/>
      <c r="AB36" s="267"/>
      <c r="AC36" s="267"/>
      <c r="AD36" s="267"/>
    </row>
    <row r="37" spans="1:30" ht="26.25" hidden="1" customHeight="1" x14ac:dyDescent="0.2">
      <c r="A37" s="38">
        <v>28</v>
      </c>
      <c r="B37" s="985"/>
      <c r="C37" s="995"/>
      <c r="D37" s="995"/>
      <c r="E37" s="986"/>
      <c r="F37" s="994"/>
      <c r="G37" s="133"/>
      <c r="H37" s="793" t="s">
        <v>632</v>
      </c>
      <c r="I37" s="1124">
        <f t="shared" si="3"/>
        <v>0</v>
      </c>
      <c r="J37" s="391"/>
      <c r="K37" s="388"/>
      <c r="L37" s="996"/>
      <c r="M37" s="390"/>
      <c r="N37" s="390"/>
      <c r="O37" s="991">
        <f t="shared" si="5"/>
        <v>0</v>
      </c>
      <c r="P37" s="989">
        <f>IF(F37="y",((((L37+M37+N37+O37)*I37)*Rates!$C$379))/12,(((L37+M37+N37+O37)*I37)/12))</f>
        <v>0</v>
      </c>
      <c r="Q37" s="990">
        <f t="shared" si="6"/>
        <v>0</v>
      </c>
      <c r="R37" s="992">
        <f t="shared" si="7"/>
        <v>0</v>
      </c>
      <c r="S37" s="993">
        <f t="shared" si="8"/>
        <v>0</v>
      </c>
      <c r="T37"/>
      <c r="U37" s="994"/>
      <c r="V37" s="995"/>
      <c r="W37" s="267"/>
      <c r="X37" s="267"/>
      <c r="Y37" s="267"/>
      <c r="Z37" s="267"/>
      <c r="AA37" s="267"/>
      <c r="AB37" s="267"/>
      <c r="AC37" s="267"/>
      <c r="AD37" s="267"/>
    </row>
    <row r="38" spans="1:30" ht="26.25" hidden="1" customHeight="1" x14ac:dyDescent="0.2">
      <c r="A38" s="38">
        <v>29</v>
      </c>
      <c r="B38" s="985"/>
      <c r="C38" s="995"/>
      <c r="D38" s="995"/>
      <c r="E38" s="986"/>
      <c r="F38" s="994"/>
      <c r="G38" s="133"/>
      <c r="H38" s="793" t="s">
        <v>632</v>
      </c>
      <c r="I38" s="1124">
        <f t="shared" si="3"/>
        <v>0</v>
      </c>
      <c r="J38" s="391"/>
      <c r="K38" s="388"/>
      <c r="L38" s="996"/>
      <c r="M38" s="390"/>
      <c r="N38" s="390"/>
      <c r="O38" s="991">
        <f t="shared" si="5"/>
        <v>0</v>
      </c>
      <c r="P38" s="989">
        <f>IF(F38="y",((((L38+M38+N38+O38)*I38)*Rates!$C$379))/12,(((L38+M38+N38+O38)*I38)/12))</f>
        <v>0</v>
      </c>
      <c r="Q38" s="990">
        <f t="shared" si="6"/>
        <v>0</v>
      </c>
      <c r="R38" s="992">
        <f t="shared" si="7"/>
        <v>0</v>
      </c>
      <c r="S38" s="993">
        <f t="shared" si="8"/>
        <v>0</v>
      </c>
      <c r="T38"/>
      <c r="U38" s="994"/>
      <c r="V38" s="995"/>
      <c r="W38" s="267"/>
      <c r="X38" s="267"/>
      <c r="Y38" s="267"/>
      <c r="Z38" s="267"/>
      <c r="AA38" s="267"/>
      <c r="AB38" s="267"/>
      <c r="AC38" s="267"/>
      <c r="AD38" s="267"/>
    </row>
    <row r="39" spans="1:30" ht="26.25" hidden="1" customHeight="1" x14ac:dyDescent="0.2">
      <c r="A39" s="38">
        <v>30</v>
      </c>
      <c r="B39" s="985"/>
      <c r="C39" s="995"/>
      <c r="D39" s="995"/>
      <c r="E39" s="986"/>
      <c r="F39" s="994"/>
      <c r="G39" s="133"/>
      <c r="H39" s="793" t="s">
        <v>632</v>
      </c>
      <c r="I39" s="1124">
        <f t="shared" si="3"/>
        <v>0</v>
      </c>
      <c r="J39" s="391"/>
      <c r="K39" s="388"/>
      <c r="L39" s="996"/>
      <c r="M39" s="390"/>
      <c r="N39" s="390"/>
      <c r="O39" s="991">
        <f t="shared" si="5"/>
        <v>0</v>
      </c>
      <c r="P39" s="989">
        <f>IF(F39="y",((((L39+M39+N39+O39)*I39)*Rates!$C$379))/12,(((L39+M39+N39+O39)*I39)/12))</f>
        <v>0</v>
      </c>
      <c r="Q39" s="990">
        <f t="shared" si="6"/>
        <v>0</v>
      </c>
      <c r="R39" s="992">
        <f t="shared" si="7"/>
        <v>0</v>
      </c>
      <c r="S39" s="993">
        <f t="shared" si="8"/>
        <v>0</v>
      </c>
      <c r="T39"/>
      <c r="U39" s="994"/>
      <c r="V39" s="995"/>
      <c r="W39" s="267"/>
      <c r="X39" s="267"/>
      <c r="Y39" s="267"/>
      <c r="Z39" s="267"/>
      <c r="AA39" s="267"/>
      <c r="AB39" s="267"/>
      <c r="AC39" s="267"/>
      <c r="AD39" s="267"/>
    </row>
    <row r="40" spans="1:30" ht="26.25" hidden="1" customHeight="1" x14ac:dyDescent="0.2">
      <c r="A40" s="38">
        <v>31</v>
      </c>
      <c r="B40" s="985"/>
      <c r="C40" s="995"/>
      <c r="D40" s="995"/>
      <c r="E40" s="986"/>
      <c r="F40" s="994"/>
      <c r="G40" s="133"/>
      <c r="H40" s="793" t="s">
        <v>632</v>
      </c>
      <c r="I40" s="1124">
        <f t="shared" si="3"/>
        <v>0</v>
      </c>
      <c r="J40" s="391"/>
      <c r="K40" s="388"/>
      <c r="L40" s="996"/>
      <c r="M40" s="390"/>
      <c r="N40" s="390"/>
      <c r="O40" s="991">
        <f t="shared" si="5"/>
        <v>0</v>
      </c>
      <c r="P40" s="989">
        <f>IF(F40="y",((((L40+M40+N40+O40)*I40)*Rates!$C$379))/12,(((L40+M40+N40+O40)*I40)/12))</f>
        <v>0</v>
      </c>
      <c r="Q40" s="990">
        <f t="shared" si="6"/>
        <v>0</v>
      </c>
      <c r="R40" s="992">
        <f t="shared" si="7"/>
        <v>0</v>
      </c>
      <c r="S40" s="993">
        <f t="shared" si="8"/>
        <v>0</v>
      </c>
      <c r="T40"/>
      <c r="U40" s="994"/>
      <c r="V40" s="995"/>
      <c r="W40" s="267"/>
      <c r="X40" s="267"/>
      <c r="Y40" s="267"/>
      <c r="Z40" s="267"/>
      <c r="AA40" s="267"/>
      <c r="AB40" s="267"/>
      <c r="AC40" s="267"/>
      <c r="AD40" s="267"/>
    </row>
    <row r="41" spans="1:30" ht="26.25" hidden="1" customHeight="1" x14ac:dyDescent="0.2">
      <c r="A41" s="38">
        <v>32</v>
      </c>
      <c r="B41" s="985"/>
      <c r="C41" s="995"/>
      <c r="D41" s="995"/>
      <c r="E41" s="986"/>
      <c r="F41" s="994"/>
      <c r="G41" s="133"/>
      <c r="H41" s="793" t="s">
        <v>632</v>
      </c>
      <c r="I41" s="1124">
        <f t="shared" si="3"/>
        <v>0</v>
      </c>
      <c r="J41" s="391"/>
      <c r="K41" s="388"/>
      <c r="L41" s="996"/>
      <c r="M41" s="390"/>
      <c r="N41" s="390"/>
      <c r="O41" s="991">
        <f t="shared" si="5"/>
        <v>0</v>
      </c>
      <c r="P41" s="989">
        <f>IF(F41="y",((((L41+M41+N41+O41)*I41)*Rates!$C$379))/12,(((L41+M41+N41+O41)*I41)/12))</f>
        <v>0</v>
      </c>
      <c r="Q41" s="990">
        <f t="shared" si="6"/>
        <v>0</v>
      </c>
      <c r="R41" s="992">
        <f t="shared" si="7"/>
        <v>0</v>
      </c>
      <c r="S41" s="993">
        <f t="shared" si="8"/>
        <v>0</v>
      </c>
      <c r="T41"/>
      <c r="U41" s="994"/>
      <c r="V41" s="995"/>
      <c r="W41" s="267"/>
      <c r="X41" s="267"/>
      <c r="Y41" s="267"/>
      <c r="Z41" s="267"/>
      <c r="AA41" s="267"/>
      <c r="AB41" s="267"/>
      <c r="AC41" s="267"/>
      <c r="AD41" s="267"/>
    </row>
    <row r="42" spans="1:30" ht="26.25" hidden="1" customHeight="1" x14ac:dyDescent="0.2">
      <c r="A42" s="38">
        <v>33</v>
      </c>
      <c r="B42" s="985"/>
      <c r="C42" s="995"/>
      <c r="D42" s="995"/>
      <c r="E42" s="986"/>
      <c r="F42" s="994"/>
      <c r="G42" s="133"/>
      <c r="H42" s="793" t="s">
        <v>632</v>
      </c>
      <c r="I42" s="1124">
        <f t="shared" si="3"/>
        <v>0</v>
      </c>
      <c r="J42" s="391"/>
      <c r="K42" s="388"/>
      <c r="L42" s="996"/>
      <c r="M42" s="390"/>
      <c r="N42" s="390"/>
      <c r="O42" s="991">
        <f t="shared" si="5"/>
        <v>0</v>
      </c>
      <c r="P42" s="989">
        <f>IF(F42="y",((((L42+M42+N42+O42)*I42)*Rates!$C$379))/12,(((L42+M42+N42+O42)*I42)/12))</f>
        <v>0</v>
      </c>
      <c r="Q42" s="990">
        <f t="shared" si="6"/>
        <v>0</v>
      </c>
      <c r="R42" s="992">
        <f t="shared" si="7"/>
        <v>0</v>
      </c>
      <c r="S42" s="993">
        <f t="shared" si="8"/>
        <v>0</v>
      </c>
      <c r="T42"/>
      <c r="U42" s="994"/>
      <c r="V42" s="995"/>
      <c r="W42" s="267"/>
      <c r="X42" s="267"/>
      <c r="Y42" s="267"/>
      <c r="Z42" s="267"/>
      <c r="AA42" s="267"/>
      <c r="AB42" s="267"/>
      <c r="AC42" s="267"/>
      <c r="AD42" s="267"/>
    </row>
    <row r="43" spans="1:30" ht="26.25" hidden="1" customHeight="1" x14ac:dyDescent="0.2">
      <c r="A43" s="38">
        <v>34</v>
      </c>
      <c r="B43" s="985"/>
      <c r="C43" s="995"/>
      <c r="D43" s="995"/>
      <c r="E43" s="986"/>
      <c r="F43" s="994"/>
      <c r="G43" s="133"/>
      <c r="H43" s="793" t="s">
        <v>632</v>
      </c>
      <c r="I43" s="1124">
        <f t="shared" si="3"/>
        <v>0</v>
      </c>
      <c r="J43" s="391"/>
      <c r="K43" s="388"/>
      <c r="L43" s="996"/>
      <c r="M43" s="390"/>
      <c r="N43" s="390"/>
      <c r="O43" s="991">
        <f t="shared" si="5"/>
        <v>0</v>
      </c>
      <c r="P43" s="989">
        <f>IF(F43="y",((((L43+M43+N43+O43)*I43)*Rates!$C$379))/12,(((L43+M43+N43+O43)*I43)/12))</f>
        <v>0</v>
      </c>
      <c r="Q43" s="990">
        <f t="shared" si="6"/>
        <v>0</v>
      </c>
      <c r="R43" s="992">
        <f t="shared" si="7"/>
        <v>0</v>
      </c>
      <c r="S43" s="993">
        <f t="shared" si="8"/>
        <v>0</v>
      </c>
      <c r="T43"/>
      <c r="U43" s="994"/>
      <c r="V43" s="995"/>
      <c r="W43" s="267"/>
      <c r="X43" s="267"/>
      <c r="Y43" s="267"/>
      <c r="Z43" s="267"/>
      <c r="AA43" s="267"/>
      <c r="AB43" s="267"/>
      <c r="AC43" s="267"/>
      <c r="AD43" s="267"/>
    </row>
    <row r="44" spans="1:30" ht="26.25" hidden="1" customHeight="1" x14ac:dyDescent="0.2">
      <c r="A44" s="38">
        <v>35</v>
      </c>
      <c r="B44" s="985"/>
      <c r="C44" s="995"/>
      <c r="D44" s="995"/>
      <c r="E44" s="986"/>
      <c r="F44" s="994"/>
      <c r="G44" s="133"/>
      <c r="H44" s="793" t="s">
        <v>632</v>
      </c>
      <c r="I44" s="1124">
        <f t="shared" si="3"/>
        <v>0</v>
      </c>
      <c r="J44" s="391"/>
      <c r="K44" s="388"/>
      <c r="L44" s="996"/>
      <c r="M44" s="390"/>
      <c r="N44" s="390"/>
      <c r="O44" s="991">
        <f t="shared" si="5"/>
        <v>0</v>
      </c>
      <c r="P44" s="989">
        <f>IF(F44="y",((((L44+M44+N44+O44)*I44)*Rates!$C$379))/12,(((L44+M44+N44+O44)*I44)/12))</f>
        <v>0</v>
      </c>
      <c r="Q44" s="990">
        <f t="shared" si="6"/>
        <v>0</v>
      </c>
      <c r="R44" s="992">
        <f t="shared" si="7"/>
        <v>0</v>
      </c>
      <c r="S44" s="993">
        <f t="shared" si="8"/>
        <v>0</v>
      </c>
      <c r="T44"/>
      <c r="U44" s="994"/>
      <c r="V44" s="995"/>
      <c r="W44" s="267"/>
      <c r="X44" s="267"/>
      <c r="Y44" s="267"/>
      <c r="Z44" s="267"/>
      <c r="AA44" s="267"/>
      <c r="AB44" s="267"/>
      <c r="AC44" s="267"/>
      <c r="AD44" s="267"/>
    </row>
    <row r="45" spans="1:30" ht="26.25" hidden="1" customHeight="1" x14ac:dyDescent="0.2">
      <c r="A45" s="38">
        <v>36</v>
      </c>
      <c r="B45" s="985"/>
      <c r="C45" s="995"/>
      <c r="D45" s="995"/>
      <c r="E45" s="986"/>
      <c r="F45" s="994"/>
      <c r="G45" s="133"/>
      <c r="H45" s="793" t="s">
        <v>632</v>
      </c>
      <c r="I45" s="1124">
        <f t="shared" si="3"/>
        <v>0</v>
      </c>
      <c r="J45" s="391"/>
      <c r="K45" s="388"/>
      <c r="L45" s="996"/>
      <c r="M45" s="390"/>
      <c r="N45" s="390"/>
      <c r="O45" s="991">
        <f t="shared" si="5"/>
        <v>0</v>
      </c>
      <c r="P45" s="989">
        <f>IF(F45="y",((((L45+M45+N45+O45)*I45)*Rates!$C$379))/12,(((L45+M45+N45+O45)*I45)/12))</f>
        <v>0</v>
      </c>
      <c r="Q45" s="990">
        <f t="shared" si="6"/>
        <v>0</v>
      </c>
      <c r="R45" s="992">
        <f t="shared" si="7"/>
        <v>0</v>
      </c>
      <c r="S45" s="993">
        <f t="shared" si="8"/>
        <v>0</v>
      </c>
      <c r="T45"/>
      <c r="U45" s="994"/>
      <c r="V45" s="995"/>
      <c r="W45" s="267"/>
      <c r="X45" s="267"/>
      <c r="Y45" s="267"/>
      <c r="Z45" s="267"/>
      <c r="AA45" s="267"/>
      <c r="AB45" s="267"/>
      <c r="AC45" s="267"/>
      <c r="AD45" s="267"/>
    </row>
    <row r="46" spans="1:30" ht="26.25" hidden="1" customHeight="1" x14ac:dyDescent="0.2">
      <c r="A46" s="38">
        <v>37</v>
      </c>
      <c r="B46" s="985"/>
      <c r="C46" s="995"/>
      <c r="D46" s="995"/>
      <c r="E46" s="986"/>
      <c r="F46" s="994"/>
      <c r="G46" s="133"/>
      <c r="H46" s="793" t="s">
        <v>632</v>
      </c>
      <c r="I46" s="1124">
        <f t="shared" si="3"/>
        <v>0</v>
      </c>
      <c r="J46" s="391"/>
      <c r="K46" s="388"/>
      <c r="L46" s="996"/>
      <c r="M46" s="390"/>
      <c r="N46" s="390"/>
      <c r="O46" s="991">
        <f t="shared" si="5"/>
        <v>0</v>
      </c>
      <c r="P46" s="989">
        <f>IF(F46="y",((((L46+M46+N46+O46)*I46)*Rates!$C$379))/12,(((L46+M46+N46+O46)*I46)/12))</f>
        <v>0</v>
      </c>
      <c r="Q46" s="990">
        <f t="shared" si="6"/>
        <v>0</v>
      </c>
      <c r="R46" s="992">
        <f t="shared" si="7"/>
        <v>0</v>
      </c>
      <c r="S46" s="993">
        <f t="shared" si="8"/>
        <v>0</v>
      </c>
      <c r="T46"/>
      <c r="U46" s="994"/>
      <c r="V46" s="995"/>
      <c r="W46" s="267"/>
      <c r="X46" s="267"/>
      <c r="Y46" s="267"/>
      <c r="Z46" s="267"/>
      <c r="AA46" s="267"/>
      <c r="AB46" s="267"/>
      <c r="AC46" s="267"/>
      <c r="AD46" s="267"/>
    </row>
    <row r="47" spans="1:30" ht="26.25" hidden="1" customHeight="1" x14ac:dyDescent="0.2">
      <c r="A47" s="38">
        <v>38</v>
      </c>
      <c r="B47" s="985"/>
      <c r="C47" s="995"/>
      <c r="D47" s="995"/>
      <c r="E47" s="986"/>
      <c r="F47" s="994"/>
      <c r="G47" s="133"/>
      <c r="H47" s="793" t="s">
        <v>632</v>
      </c>
      <c r="I47" s="1124">
        <f t="shared" si="3"/>
        <v>0</v>
      </c>
      <c r="J47" s="391"/>
      <c r="K47" s="388"/>
      <c r="L47" s="996"/>
      <c r="M47" s="390"/>
      <c r="N47" s="390"/>
      <c r="O47" s="991">
        <f t="shared" si="5"/>
        <v>0</v>
      </c>
      <c r="P47" s="989">
        <f>IF(F47="y",((((L47+M47+N47+O47)*I47)*Rates!$C$379))/12,(((L47+M47+N47+O47)*I47)/12))</f>
        <v>0</v>
      </c>
      <c r="Q47" s="990">
        <f t="shared" si="6"/>
        <v>0</v>
      </c>
      <c r="R47" s="992">
        <f t="shared" si="7"/>
        <v>0</v>
      </c>
      <c r="S47" s="993">
        <f t="shared" si="8"/>
        <v>0</v>
      </c>
      <c r="T47"/>
      <c r="U47" s="994"/>
      <c r="V47" s="995"/>
      <c r="W47" s="267"/>
      <c r="X47" s="267"/>
      <c r="Y47" s="267"/>
      <c r="Z47" s="267"/>
      <c r="AA47" s="267"/>
      <c r="AB47" s="267"/>
      <c r="AC47" s="267"/>
      <c r="AD47" s="267"/>
    </row>
    <row r="48" spans="1:30" ht="26.25" hidden="1" customHeight="1" x14ac:dyDescent="0.2">
      <c r="A48" s="38">
        <v>39</v>
      </c>
      <c r="B48" s="985"/>
      <c r="C48" s="995"/>
      <c r="D48" s="995"/>
      <c r="E48" s="986"/>
      <c r="F48" s="994"/>
      <c r="G48" s="133"/>
      <c r="H48" s="793" t="s">
        <v>632</v>
      </c>
      <c r="I48" s="1124">
        <f t="shared" si="3"/>
        <v>0</v>
      </c>
      <c r="J48" s="391"/>
      <c r="K48" s="388"/>
      <c r="L48" s="996"/>
      <c r="M48" s="390"/>
      <c r="N48" s="390"/>
      <c r="O48" s="991">
        <f t="shared" si="5"/>
        <v>0</v>
      </c>
      <c r="P48" s="989">
        <f>IF(F48="y",((((L48+M48+N48+O48)*I48)*Rates!$C$379))/12,(((L48+M48+N48+O48)*I48)/12))</f>
        <v>0</v>
      </c>
      <c r="Q48" s="990">
        <f t="shared" si="6"/>
        <v>0</v>
      </c>
      <c r="R48" s="992">
        <f t="shared" si="7"/>
        <v>0</v>
      </c>
      <c r="S48" s="993">
        <f t="shared" si="8"/>
        <v>0</v>
      </c>
      <c r="T48"/>
      <c r="U48" s="994"/>
      <c r="V48" s="995"/>
      <c r="W48" s="267"/>
      <c r="X48" s="267"/>
      <c r="Y48" s="267"/>
      <c r="Z48" s="267"/>
      <c r="AA48" s="267"/>
      <c r="AB48" s="267"/>
      <c r="AC48" s="267"/>
      <c r="AD48" s="267"/>
    </row>
    <row r="49" spans="1:30" ht="26.25" hidden="1" customHeight="1" x14ac:dyDescent="0.2">
      <c r="A49" s="38">
        <v>40</v>
      </c>
      <c r="B49" s="985"/>
      <c r="C49" s="995"/>
      <c r="D49" s="995"/>
      <c r="E49" s="986"/>
      <c r="F49" s="994"/>
      <c r="G49" s="133"/>
      <c r="H49" s="793" t="s">
        <v>632</v>
      </c>
      <c r="I49" s="1124">
        <f t="shared" si="3"/>
        <v>0</v>
      </c>
      <c r="J49" s="391"/>
      <c r="K49" s="388"/>
      <c r="L49" s="996"/>
      <c r="M49" s="390"/>
      <c r="N49" s="390"/>
      <c r="O49" s="991">
        <f t="shared" si="5"/>
        <v>0</v>
      </c>
      <c r="P49" s="989">
        <f>IF(F49="y",((((L49+M49+N49+O49)*I49)*Rates!$C$379))/12,(((L49+M49+N49+O49)*I49)/12))</f>
        <v>0</v>
      </c>
      <c r="Q49" s="990">
        <f t="shared" si="6"/>
        <v>0</v>
      </c>
      <c r="R49" s="992">
        <f t="shared" si="7"/>
        <v>0</v>
      </c>
      <c r="S49" s="993">
        <f t="shared" si="8"/>
        <v>0</v>
      </c>
      <c r="T49"/>
      <c r="U49" s="994"/>
      <c r="V49" s="995"/>
      <c r="W49" s="267"/>
      <c r="X49" s="267"/>
      <c r="Y49" s="267"/>
      <c r="Z49" s="267"/>
      <c r="AA49" s="267"/>
      <c r="AB49" s="267"/>
      <c r="AC49" s="267"/>
      <c r="AD49" s="267"/>
    </row>
    <row r="50" spans="1:30" ht="26.25" hidden="1" customHeight="1" x14ac:dyDescent="0.2">
      <c r="A50" s="38">
        <v>41</v>
      </c>
      <c r="B50" s="985"/>
      <c r="C50" s="995"/>
      <c r="D50" s="995"/>
      <c r="E50" s="986"/>
      <c r="F50" s="994"/>
      <c r="G50" s="133"/>
      <c r="H50" s="793" t="s">
        <v>632</v>
      </c>
      <c r="I50" s="1124">
        <f t="shared" si="3"/>
        <v>0</v>
      </c>
      <c r="J50" s="391"/>
      <c r="K50" s="388"/>
      <c r="L50" s="996"/>
      <c r="M50" s="390"/>
      <c r="N50" s="390"/>
      <c r="O50" s="991">
        <f t="shared" si="5"/>
        <v>0</v>
      </c>
      <c r="P50" s="989">
        <f>IF(F50="y",((((L50+M50+N50+O50)*I50)*Rates!$C$379))/12,(((L50+M50+N50+O50)*I50)/12))</f>
        <v>0</v>
      </c>
      <c r="Q50" s="990">
        <f t="shared" si="6"/>
        <v>0</v>
      </c>
      <c r="R50" s="992">
        <f t="shared" si="7"/>
        <v>0</v>
      </c>
      <c r="S50" s="993">
        <f t="shared" si="8"/>
        <v>0</v>
      </c>
      <c r="T50"/>
      <c r="U50" s="994"/>
      <c r="V50" s="995"/>
      <c r="W50" s="267"/>
      <c r="X50" s="267"/>
      <c r="Y50" s="267"/>
      <c r="Z50" s="267"/>
      <c r="AA50" s="267"/>
      <c r="AB50" s="267"/>
      <c r="AC50" s="267"/>
      <c r="AD50" s="267"/>
    </row>
    <row r="51" spans="1:30" ht="26.25" hidden="1" customHeight="1" x14ac:dyDescent="0.2">
      <c r="A51" s="38">
        <v>42</v>
      </c>
      <c r="B51" s="985"/>
      <c r="C51" s="995"/>
      <c r="D51" s="995"/>
      <c r="E51" s="986"/>
      <c r="F51" s="994"/>
      <c r="G51" s="133"/>
      <c r="H51" s="793" t="s">
        <v>632</v>
      </c>
      <c r="I51" s="1124">
        <f t="shared" si="3"/>
        <v>0</v>
      </c>
      <c r="J51" s="391"/>
      <c r="K51" s="388"/>
      <c r="L51" s="996"/>
      <c r="M51" s="390"/>
      <c r="N51" s="390"/>
      <c r="O51" s="991">
        <f t="shared" si="5"/>
        <v>0</v>
      </c>
      <c r="P51" s="989">
        <f>IF(F51="y",((((L51+M51+N51+O51)*I51)*Rates!$C$379))/12,(((L51+M51+N51+O51)*I51)/12))</f>
        <v>0</v>
      </c>
      <c r="Q51" s="990">
        <f t="shared" si="6"/>
        <v>0</v>
      </c>
      <c r="R51" s="992">
        <f t="shared" si="7"/>
        <v>0</v>
      </c>
      <c r="S51" s="993">
        <f t="shared" si="8"/>
        <v>0</v>
      </c>
      <c r="T51"/>
      <c r="U51" s="994"/>
      <c r="V51" s="995"/>
      <c r="W51" s="267"/>
      <c r="X51" s="267"/>
      <c r="Y51" s="267"/>
      <c r="Z51" s="267"/>
      <c r="AA51" s="267"/>
      <c r="AB51" s="267"/>
      <c r="AC51" s="267"/>
      <c r="AD51" s="267"/>
    </row>
    <row r="52" spans="1:30" ht="26.25" hidden="1" customHeight="1" x14ac:dyDescent="0.2">
      <c r="A52" s="38">
        <v>43</v>
      </c>
      <c r="B52" s="985"/>
      <c r="C52" s="995"/>
      <c r="D52" s="995"/>
      <c r="E52" s="986"/>
      <c r="F52" s="994"/>
      <c r="G52" s="133"/>
      <c r="H52" s="793" t="s">
        <v>632</v>
      </c>
      <c r="I52" s="1124">
        <f t="shared" si="3"/>
        <v>0</v>
      </c>
      <c r="J52" s="391"/>
      <c r="K52" s="388"/>
      <c r="L52" s="996"/>
      <c r="M52" s="390"/>
      <c r="N52" s="390"/>
      <c r="O52" s="991">
        <f t="shared" si="5"/>
        <v>0</v>
      </c>
      <c r="P52" s="989">
        <f>IF(F52="y",((((L52+M52+N52+O52)*I52)*Rates!$C$379))/12,(((L52+M52+N52+O52)*I52)/12))</f>
        <v>0</v>
      </c>
      <c r="Q52" s="990">
        <f t="shared" si="6"/>
        <v>0</v>
      </c>
      <c r="R52" s="992">
        <f t="shared" si="7"/>
        <v>0</v>
      </c>
      <c r="S52" s="993">
        <f t="shared" si="8"/>
        <v>0</v>
      </c>
      <c r="T52"/>
      <c r="U52" s="994"/>
      <c r="V52" s="995"/>
      <c r="W52" s="267"/>
      <c r="X52" s="267"/>
      <c r="Y52" s="267"/>
      <c r="Z52" s="267"/>
      <c r="AA52" s="267"/>
      <c r="AB52" s="267"/>
      <c r="AC52" s="267"/>
      <c r="AD52" s="267"/>
    </row>
    <row r="53" spans="1:30" ht="26.25" hidden="1" customHeight="1" x14ac:dyDescent="0.2">
      <c r="A53" s="38">
        <v>44</v>
      </c>
      <c r="B53" s="985"/>
      <c r="C53" s="995"/>
      <c r="D53" s="995"/>
      <c r="E53" s="986"/>
      <c r="F53" s="994"/>
      <c r="G53" s="133"/>
      <c r="H53" s="793" t="s">
        <v>632</v>
      </c>
      <c r="I53" s="1124">
        <f t="shared" si="3"/>
        <v>0</v>
      </c>
      <c r="J53" s="391"/>
      <c r="K53" s="388"/>
      <c r="L53" s="996"/>
      <c r="M53" s="390"/>
      <c r="N53" s="390"/>
      <c r="O53" s="991">
        <f t="shared" si="5"/>
        <v>0</v>
      </c>
      <c r="P53" s="989">
        <f>IF(F53="y",((((L53+M53+N53+O53)*I53)*Rates!$C$379))/12,(((L53+M53+N53+O53)*I53)/12))</f>
        <v>0</v>
      </c>
      <c r="Q53" s="990">
        <f t="shared" si="6"/>
        <v>0</v>
      </c>
      <c r="R53" s="992">
        <f t="shared" si="7"/>
        <v>0</v>
      </c>
      <c r="S53" s="993">
        <f t="shared" si="8"/>
        <v>0</v>
      </c>
      <c r="T53"/>
      <c r="U53" s="994"/>
      <c r="V53" s="995"/>
      <c r="W53" s="267"/>
      <c r="X53" s="267"/>
      <c r="Y53" s="267"/>
      <c r="Z53" s="267"/>
      <c r="AA53" s="267"/>
      <c r="AB53" s="267"/>
      <c r="AC53" s="267"/>
      <c r="AD53" s="267"/>
    </row>
    <row r="54" spans="1:30" ht="26.25" hidden="1" customHeight="1" x14ac:dyDescent="0.2">
      <c r="A54" s="38">
        <v>45</v>
      </c>
      <c r="B54" s="985"/>
      <c r="C54" s="995"/>
      <c r="D54" s="995"/>
      <c r="E54" s="986"/>
      <c r="F54" s="994"/>
      <c r="G54" s="133"/>
      <c r="H54" s="793" t="s">
        <v>632</v>
      </c>
      <c r="I54" s="1124">
        <f t="shared" si="3"/>
        <v>0</v>
      </c>
      <c r="J54" s="391"/>
      <c r="K54" s="388"/>
      <c r="L54" s="996"/>
      <c r="M54" s="390"/>
      <c r="N54" s="390"/>
      <c r="O54" s="991">
        <f t="shared" si="5"/>
        <v>0</v>
      </c>
      <c r="P54" s="989">
        <f>IF(F54="y",((((L54+M54+N54+O54)*I54)*Rates!$C$379))/12,(((L54+M54+N54+O54)*I54)/12))</f>
        <v>0</v>
      </c>
      <c r="Q54" s="990">
        <f t="shared" si="6"/>
        <v>0</v>
      </c>
      <c r="R54" s="992">
        <f t="shared" si="7"/>
        <v>0</v>
      </c>
      <c r="S54" s="993">
        <f t="shared" si="8"/>
        <v>0</v>
      </c>
      <c r="T54"/>
      <c r="U54" s="994"/>
      <c r="V54" s="995"/>
      <c r="W54" s="267"/>
      <c r="X54" s="267"/>
      <c r="Y54" s="267"/>
      <c r="Z54" s="267"/>
      <c r="AA54" s="267"/>
      <c r="AB54" s="267"/>
      <c r="AC54" s="267"/>
      <c r="AD54" s="267"/>
    </row>
    <row r="55" spans="1:30" ht="26.25" hidden="1" customHeight="1" x14ac:dyDescent="0.2">
      <c r="A55" s="38">
        <v>46</v>
      </c>
      <c r="B55" s="985"/>
      <c r="C55" s="995"/>
      <c r="D55" s="995"/>
      <c r="E55" s="986"/>
      <c r="F55" s="994"/>
      <c r="G55" s="133"/>
      <c r="H55" s="793" t="s">
        <v>632</v>
      </c>
      <c r="I55" s="1124">
        <f t="shared" si="3"/>
        <v>0</v>
      </c>
      <c r="J55" s="391"/>
      <c r="K55" s="388"/>
      <c r="L55" s="996"/>
      <c r="M55" s="390"/>
      <c r="N55" s="390"/>
      <c r="O55" s="991">
        <f t="shared" si="5"/>
        <v>0</v>
      </c>
      <c r="P55" s="989">
        <f>IF(F55="y",((((L55+M55+N55+O55)*I55)*Rates!$C$379))/12,(((L55+M55+N55+O55)*I55)/12))</f>
        <v>0</v>
      </c>
      <c r="Q55" s="990">
        <f t="shared" si="6"/>
        <v>0</v>
      </c>
      <c r="R55" s="992">
        <f t="shared" si="7"/>
        <v>0</v>
      </c>
      <c r="S55" s="993">
        <f t="shared" si="8"/>
        <v>0</v>
      </c>
      <c r="T55"/>
      <c r="U55" s="994"/>
      <c r="V55" s="995"/>
      <c r="W55" s="267"/>
      <c r="X55" s="267"/>
      <c r="Y55" s="267"/>
      <c r="Z55" s="267"/>
      <c r="AA55" s="267"/>
      <c r="AB55" s="267"/>
      <c r="AC55" s="267"/>
      <c r="AD55" s="267"/>
    </row>
    <row r="56" spans="1:30" ht="26.25" hidden="1" customHeight="1" x14ac:dyDescent="0.2">
      <c r="A56" s="38">
        <v>47</v>
      </c>
      <c r="B56" s="985"/>
      <c r="C56" s="995"/>
      <c r="D56" s="995"/>
      <c r="E56" s="986"/>
      <c r="F56" s="994"/>
      <c r="G56" s="133"/>
      <c r="H56" s="793" t="s">
        <v>632</v>
      </c>
      <c r="I56" s="1124">
        <f t="shared" si="3"/>
        <v>0</v>
      </c>
      <c r="J56" s="391"/>
      <c r="K56" s="388"/>
      <c r="L56" s="996"/>
      <c r="M56" s="390"/>
      <c r="N56" s="390"/>
      <c r="O56" s="991">
        <f t="shared" si="5"/>
        <v>0</v>
      </c>
      <c r="P56" s="989">
        <f>IF(F56="y",((((L56+M56+N56+O56)*I56)*Rates!$C$379))/12,(((L56+M56+N56+O56)*I56)/12))</f>
        <v>0</v>
      </c>
      <c r="Q56" s="990">
        <f t="shared" si="6"/>
        <v>0</v>
      </c>
      <c r="R56" s="992">
        <f t="shared" si="7"/>
        <v>0</v>
      </c>
      <c r="S56" s="993">
        <f t="shared" si="8"/>
        <v>0</v>
      </c>
      <c r="T56"/>
      <c r="U56" s="994"/>
      <c r="V56" s="995"/>
      <c r="W56" s="267"/>
      <c r="X56" s="267"/>
      <c r="Y56" s="267"/>
      <c r="Z56" s="267"/>
      <c r="AA56" s="267"/>
      <c r="AB56" s="267"/>
      <c r="AC56" s="267"/>
      <c r="AD56" s="267"/>
    </row>
    <row r="57" spans="1:30" ht="26.25" hidden="1" customHeight="1" x14ac:dyDescent="0.2">
      <c r="A57" s="38">
        <v>48</v>
      </c>
      <c r="B57" s="985"/>
      <c r="C57" s="995"/>
      <c r="D57" s="995"/>
      <c r="E57" s="986"/>
      <c r="F57" s="994"/>
      <c r="G57" s="133"/>
      <c r="H57" s="793" t="s">
        <v>632</v>
      </c>
      <c r="I57" s="1124">
        <f t="shared" si="3"/>
        <v>0</v>
      </c>
      <c r="J57" s="391"/>
      <c r="K57" s="388"/>
      <c r="L57" s="996"/>
      <c r="M57" s="390"/>
      <c r="N57" s="390"/>
      <c r="O57" s="991">
        <f t="shared" si="5"/>
        <v>0</v>
      </c>
      <c r="P57" s="989">
        <f>IF(F57="y",((((L57+M57+N57+O57)*I57)*Rates!$C$379))/12,(((L57+M57+N57+O57)*I57)/12))</f>
        <v>0</v>
      </c>
      <c r="Q57" s="990">
        <f t="shared" si="6"/>
        <v>0</v>
      </c>
      <c r="R57" s="992">
        <f t="shared" si="7"/>
        <v>0</v>
      </c>
      <c r="S57" s="993">
        <f t="shared" si="8"/>
        <v>0</v>
      </c>
      <c r="T57"/>
      <c r="U57" s="994"/>
      <c r="V57" s="995"/>
      <c r="W57" s="267"/>
      <c r="X57" s="267"/>
      <c r="Y57" s="267"/>
      <c r="Z57" s="267"/>
      <c r="AA57" s="267"/>
      <c r="AB57" s="267"/>
      <c r="AC57" s="267"/>
      <c r="AD57" s="267"/>
    </row>
    <row r="58" spans="1:30" ht="26.25" hidden="1" customHeight="1" x14ac:dyDescent="0.2">
      <c r="A58" s="38">
        <v>49</v>
      </c>
      <c r="B58" s="985"/>
      <c r="C58" s="995"/>
      <c r="D58" s="995"/>
      <c r="E58" s="986"/>
      <c r="F58" s="994"/>
      <c r="G58" s="133"/>
      <c r="H58" s="793" t="s">
        <v>632</v>
      </c>
      <c r="I58" s="1124">
        <f t="shared" si="3"/>
        <v>0</v>
      </c>
      <c r="J58" s="391"/>
      <c r="K58" s="388"/>
      <c r="L58" s="996"/>
      <c r="M58" s="390"/>
      <c r="N58" s="390"/>
      <c r="O58" s="991">
        <f t="shared" si="5"/>
        <v>0</v>
      </c>
      <c r="P58" s="989">
        <f>IF(F58="y",((((L58+M58+N58+O58)*I58)*Rates!$C$379))/12,(((L58+M58+N58+O58)*I58)/12))</f>
        <v>0</v>
      </c>
      <c r="Q58" s="990">
        <f t="shared" si="6"/>
        <v>0</v>
      </c>
      <c r="R58" s="992">
        <f t="shared" si="7"/>
        <v>0</v>
      </c>
      <c r="S58" s="993">
        <f t="shared" si="8"/>
        <v>0</v>
      </c>
      <c r="T58"/>
      <c r="U58" s="994"/>
      <c r="V58" s="995"/>
      <c r="W58" s="267"/>
      <c r="X58" s="267"/>
      <c r="Y58" s="267"/>
      <c r="Z58" s="267"/>
      <c r="AA58" s="267"/>
      <c r="AB58" s="267"/>
      <c r="AC58" s="267"/>
      <c r="AD58" s="267"/>
    </row>
    <row r="59" spans="1:30" ht="26.25" hidden="1" customHeight="1" x14ac:dyDescent="0.2">
      <c r="A59" s="38">
        <v>50</v>
      </c>
      <c r="B59" s="985"/>
      <c r="C59" s="995"/>
      <c r="D59" s="995"/>
      <c r="E59" s="986"/>
      <c r="F59" s="994"/>
      <c r="G59" s="133"/>
      <c r="H59" s="793" t="s">
        <v>632</v>
      </c>
      <c r="I59" s="1124">
        <f t="shared" si="3"/>
        <v>0</v>
      </c>
      <c r="J59" s="391"/>
      <c r="K59" s="388"/>
      <c r="L59" s="996"/>
      <c r="M59" s="390"/>
      <c r="N59" s="390"/>
      <c r="O59" s="991">
        <f t="shared" si="5"/>
        <v>0</v>
      </c>
      <c r="P59" s="989">
        <f>IF(F59="y",((((L59+M59+N59+O59)*I59)*Rates!$C$379))/12,(((L59+M59+N59+O59)*I59)/12))</f>
        <v>0</v>
      </c>
      <c r="Q59" s="990">
        <f t="shared" si="6"/>
        <v>0</v>
      </c>
      <c r="R59" s="992">
        <f t="shared" si="7"/>
        <v>0</v>
      </c>
      <c r="S59" s="993">
        <f t="shared" si="8"/>
        <v>0</v>
      </c>
      <c r="T59"/>
      <c r="U59" s="994"/>
      <c r="V59" s="995"/>
      <c r="W59" s="267"/>
      <c r="X59" s="267"/>
      <c r="Y59" s="267"/>
      <c r="Z59" s="267"/>
      <c r="AA59" s="267"/>
      <c r="AB59" s="267"/>
      <c r="AC59" s="267"/>
      <c r="AD59" s="267"/>
    </row>
    <row r="60" spans="1:30" ht="26.25" hidden="1" customHeight="1" x14ac:dyDescent="0.2">
      <c r="A60" s="38">
        <v>51</v>
      </c>
      <c r="B60" s="985"/>
      <c r="C60" s="995"/>
      <c r="D60" s="995"/>
      <c r="E60" s="986"/>
      <c r="F60" s="994"/>
      <c r="G60" s="133"/>
      <c r="H60" s="793" t="s">
        <v>632</v>
      </c>
      <c r="I60" s="1124">
        <f t="shared" si="3"/>
        <v>0</v>
      </c>
      <c r="J60" s="391"/>
      <c r="K60" s="388"/>
      <c r="L60" s="996"/>
      <c r="M60" s="390"/>
      <c r="N60" s="390"/>
      <c r="O60" s="991">
        <f t="shared" si="5"/>
        <v>0</v>
      </c>
      <c r="P60" s="989">
        <f>IF(F60="y",((((L60+M60+N60+O60)*I60)*Rates!$C$379))/12,(((L60+M60+N60+O60)*I60)/12))</f>
        <v>0</v>
      </c>
      <c r="Q60" s="990">
        <f t="shared" si="6"/>
        <v>0</v>
      </c>
      <c r="R60" s="992">
        <f t="shared" si="7"/>
        <v>0</v>
      </c>
      <c r="S60" s="993">
        <f t="shared" si="8"/>
        <v>0</v>
      </c>
      <c r="T60"/>
      <c r="U60" s="994"/>
      <c r="V60" s="995"/>
      <c r="W60" s="267"/>
      <c r="X60" s="267"/>
      <c r="Y60" s="267"/>
      <c r="Z60" s="267"/>
      <c r="AA60" s="267"/>
      <c r="AB60" s="267"/>
      <c r="AC60" s="267"/>
      <c r="AD60" s="267"/>
    </row>
    <row r="61" spans="1:30" ht="26.25" hidden="1" customHeight="1" x14ac:dyDescent="0.2">
      <c r="A61" s="38">
        <v>52</v>
      </c>
      <c r="B61" s="985"/>
      <c r="C61" s="995"/>
      <c r="D61" s="995"/>
      <c r="E61" s="986"/>
      <c r="F61" s="994"/>
      <c r="G61" s="133"/>
      <c r="H61" s="793" t="s">
        <v>632</v>
      </c>
      <c r="I61" s="1124">
        <f t="shared" si="3"/>
        <v>0</v>
      </c>
      <c r="J61" s="391"/>
      <c r="K61" s="388"/>
      <c r="L61" s="996"/>
      <c r="M61" s="390"/>
      <c r="N61" s="390"/>
      <c r="O61" s="991">
        <f t="shared" si="5"/>
        <v>0</v>
      </c>
      <c r="P61" s="989">
        <f>IF(F61="y",((((L61+M61+N61+O61)*I61)*Rates!$C$379))/12,(((L61+M61+N61+O61)*I61)/12))</f>
        <v>0</v>
      </c>
      <c r="Q61" s="990">
        <f t="shared" si="6"/>
        <v>0</v>
      </c>
      <c r="R61" s="992">
        <f t="shared" si="7"/>
        <v>0</v>
      </c>
      <c r="S61" s="993">
        <f t="shared" si="8"/>
        <v>0</v>
      </c>
      <c r="T61"/>
      <c r="U61" s="994"/>
      <c r="V61" s="995"/>
      <c r="W61" s="267"/>
      <c r="X61" s="267"/>
      <c r="Y61" s="267"/>
      <c r="Z61" s="267"/>
      <c r="AA61" s="267"/>
      <c r="AB61" s="267"/>
      <c r="AC61" s="267"/>
      <c r="AD61" s="267"/>
    </row>
    <row r="62" spans="1:30" ht="26.25" hidden="1" customHeight="1" x14ac:dyDescent="0.2">
      <c r="A62" s="38">
        <v>53</v>
      </c>
      <c r="B62" s="985"/>
      <c r="C62" s="995"/>
      <c r="D62" s="995"/>
      <c r="E62" s="986"/>
      <c r="F62" s="994"/>
      <c r="G62" s="133"/>
      <c r="H62" s="793" t="s">
        <v>632</v>
      </c>
      <c r="I62" s="1124">
        <f t="shared" si="3"/>
        <v>0</v>
      </c>
      <c r="J62" s="391"/>
      <c r="K62" s="388"/>
      <c r="L62" s="996"/>
      <c r="M62" s="390"/>
      <c r="N62" s="390"/>
      <c r="O62" s="991">
        <f t="shared" si="5"/>
        <v>0</v>
      </c>
      <c r="P62" s="989">
        <f>IF(F62="y",((((L62+M62+N62+O62)*I62)*Rates!$C$379))/12,(((L62+M62+N62+O62)*I62)/12))</f>
        <v>0</v>
      </c>
      <c r="Q62" s="990">
        <f t="shared" si="6"/>
        <v>0</v>
      </c>
      <c r="R62" s="992">
        <f t="shared" si="7"/>
        <v>0</v>
      </c>
      <c r="S62" s="993">
        <f t="shared" si="8"/>
        <v>0</v>
      </c>
      <c r="T62"/>
      <c r="U62" s="994"/>
      <c r="V62" s="995"/>
      <c r="W62" s="267"/>
      <c r="X62" s="267"/>
      <c r="Y62" s="267"/>
      <c r="Z62" s="267"/>
      <c r="AA62" s="267"/>
      <c r="AB62" s="267"/>
      <c r="AC62" s="267"/>
      <c r="AD62" s="267"/>
    </row>
    <row r="63" spans="1:30" ht="26.25" hidden="1" customHeight="1" x14ac:dyDescent="0.2">
      <c r="A63" s="38">
        <v>54</v>
      </c>
      <c r="B63" s="985"/>
      <c r="C63" s="995"/>
      <c r="D63" s="995"/>
      <c r="E63" s="986"/>
      <c r="F63" s="994"/>
      <c r="G63" s="133"/>
      <c r="H63" s="793" t="s">
        <v>632</v>
      </c>
      <c r="I63" s="1124">
        <f t="shared" si="3"/>
        <v>0</v>
      </c>
      <c r="J63" s="391"/>
      <c r="K63" s="388"/>
      <c r="L63" s="996"/>
      <c r="M63" s="390"/>
      <c r="N63" s="390"/>
      <c r="O63" s="991">
        <f t="shared" si="5"/>
        <v>0</v>
      </c>
      <c r="P63" s="989">
        <f>IF(F63="y",((((L63+M63+N63+O63)*I63)*Rates!$C$379))/12,(((L63+M63+N63+O63)*I63)/12))</f>
        <v>0</v>
      </c>
      <c r="Q63" s="990">
        <f t="shared" si="6"/>
        <v>0</v>
      </c>
      <c r="R63" s="992">
        <f t="shared" si="7"/>
        <v>0</v>
      </c>
      <c r="S63" s="993">
        <f t="shared" si="8"/>
        <v>0</v>
      </c>
      <c r="T63"/>
      <c r="U63" s="994"/>
      <c r="V63" s="995"/>
      <c r="W63" s="267"/>
      <c r="X63" s="267"/>
      <c r="Y63" s="267"/>
      <c r="Z63" s="267"/>
      <c r="AA63" s="267"/>
      <c r="AB63" s="267"/>
      <c r="AC63" s="267"/>
      <c r="AD63" s="267"/>
    </row>
    <row r="64" spans="1:30" ht="26.25" hidden="1" customHeight="1" x14ac:dyDescent="0.2">
      <c r="A64" s="38">
        <v>55</v>
      </c>
      <c r="B64" s="985"/>
      <c r="C64" s="995"/>
      <c r="D64" s="995"/>
      <c r="E64" s="986"/>
      <c r="F64" s="994"/>
      <c r="G64" s="133"/>
      <c r="H64" s="793" t="s">
        <v>632</v>
      </c>
      <c r="I64" s="1124">
        <f t="shared" si="3"/>
        <v>0</v>
      </c>
      <c r="J64" s="391"/>
      <c r="K64" s="388"/>
      <c r="L64" s="996"/>
      <c r="M64" s="390"/>
      <c r="N64" s="390"/>
      <c r="O64" s="991">
        <f t="shared" si="5"/>
        <v>0</v>
      </c>
      <c r="P64" s="989">
        <f>IF(F64="y",((((L64+M64+N64+O64)*I64)*Rates!$C$379))/12,(((L64+M64+N64+O64)*I64)/12))</f>
        <v>0</v>
      </c>
      <c r="Q64" s="990">
        <f t="shared" si="6"/>
        <v>0</v>
      </c>
      <c r="R64" s="992">
        <f t="shared" si="7"/>
        <v>0</v>
      </c>
      <c r="S64" s="993">
        <f t="shared" si="8"/>
        <v>0</v>
      </c>
      <c r="T64"/>
      <c r="U64" s="994"/>
      <c r="V64" s="995"/>
      <c r="W64" s="267"/>
      <c r="X64" s="267"/>
      <c r="Y64" s="267"/>
      <c r="Z64" s="267"/>
      <c r="AA64" s="267"/>
      <c r="AB64" s="267"/>
      <c r="AC64" s="267"/>
      <c r="AD64" s="267"/>
    </row>
    <row r="65" spans="1:30" ht="26.25" hidden="1" customHeight="1" x14ac:dyDescent="0.2">
      <c r="A65" s="38">
        <v>56</v>
      </c>
      <c r="B65" s="985"/>
      <c r="C65" s="995"/>
      <c r="D65" s="995"/>
      <c r="E65" s="986"/>
      <c r="F65" s="994"/>
      <c r="G65" s="133"/>
      <c r="H65" s="793" t="s">
        <v>632</v>
      </c>
      <c r="I65" s="1124">
        <f t="shared" si="3"/>
        <v>0</v>
      </c>
      <c r="J65" s="391"/>
      <c r="K65" s="388"/>
      <c r="L65" s="996"/>
      <c r="M65" s="390"/>
      <c r="N65" s="390"/>
      <c r="O65" s="991">
        <f t="shared" si="5"/>
        <v>0</v>
      </c>
      <c r="P65" s="989">
        <f>IF(F65="y",((((L65+M65+N65+O65)*I65)*Rates!$C$379))/12,(((L65+M65+N65+O65)*I65)/12))</f>
        <v>0</v>
      </c>
      <c r="Q65" s="990">
        <f t="shared" si="6"/>
        <v>0</v>
      </c>
      <c r="R65" s="992">
        <f t="shared" si="7"/>
        <v>0</v>
      </c>
      <c r="S65" s="993">
        <f t="shared" si="8"/>
        <v>0</v>
      </c>
      <c r="T65"/>
      <c r="U65" s="994"/>
      <c r="V65" s="995"/>
      <c r="W65" s="267"/>
      <c r="X65" s="267"/>
      <c r="Y65" s="267"/>
      <c r="Z65" s="267"/>
      <c r="AA65" s="267"/>
      <c r="AB65" s="267"/>
      <c r="AC65" s="267"/>
      <c r="AD65" s="267"/>
    </row>
    <row r="66" spans="1:30" ht="26.25" hidden="1" customHeight="1" x14ac:dyDescent="0.2">
      <c r="A66" s="38">
        <v>57</v>
      </c>
      <c r="B66" s="985"/>
      <c r="C66" s="995"/>
      <c r="D66" s="995"/>
      <c r="E66" s="986"/>
      <c r="F66" s="994"/>
      <c r="G66" s="133"/>
      <c r="H66" s="793" t="s">
        <v>632</v>
      </c>
      <c r="I66" s="1124">
        <f t="shared" si="3"/>
        <v>0</v>
      </c>
      <c r="J66" s="391"/>
      <c r="K66" s="388"/>
      <c r="L66" s="996"/>
      <c r="M66" s="390"/>
      <c r="N66" s="390"/>
      <c r="O66" s="991">
        <f t="shared" si="5"/>
        <v>0</v>
      </c>
      <c r="P66" s="989">
        <f>IF(F66="y",((((L66+M66+N66+O66)*I66)*Rates!$C$379))/12,(((L66+M66+N66+O66)*I66)/12))</f>
        <v>0</v>
      </c>
      <c r="Q66" s="990">
        <f t="shared" si="6"/>
        <v>0</v>
      </c>
      <c r="R66" s="992">
        <f t="shared" si="7"/>
        <v>0</v>
      </c>
      <c r="S66" s="993">
        <f t="shared" si="8"/>
        <v>0</v>
      </c>
      <c r="T66"/>
      <c r="U66" s="994"/>
      <c r="V66" s="995"/>
      <c r="W66" s="267"/>
      <c r="X66" s="267"/>
      <c r="Y66" s="267"/>
      <c r="Z66" s="267"/>
      <c r="AA66" s="267"/>
      <c r="AB66" s="267"/>
      <c r="AC66" s="267"/>
      <c r="AD66" s="267"/>
    </row>
    <row r="67" spans="1:30" ht="26.25" hidden="1" customHeight="1" x14ac:dyDescent="0.2">
      <c r="A67" s="38">
        <v>58</v>
      </c>
      <c r="B67" s="985"/>
      <c r="C67" s="995"/>
      <c r="D67" s="995"/>
      <c r="E67" s="986"/>
      <c r="F67" s="994"/>
      <c r="G67" s="133"/>
      <c r="H67" s="793" t="s">
        <v>632</v>
      </c>
      <c r="I67" s="1124">
        <f t="shared" si="3"/>
        <v>0</v>
      </c>
      <c r="J67" s="391"/>
      <c r="K67" s="388"/>
      <c r="L67" s="996"/>
      <c r="M67" s="390"/>
      <c r="N67" s="390"/>
      <c r="O67" s="991">
        <f t="shared" si="5"/>
        <v>0</v>
      </c>
      <c r="P67" s="989">
        <f>IF(F67="y",((((L67+M67+N67+O67)*I67)*Rates!$C$379))/12,(((L67+M67+N67+O67)*I67)/12))</f>
        <v>0</v>
      </c>
      <c r="Q67" s="990">
        <f t="shared" si="6"/>
        <v>0</v>
      </c>
      <c r="R67" s="992">
        <f t="shared" si="7"/>
        <v>0</v>
      </c>
      <c r="S67" s="993">
        <f t="shared" si="8"/>
        <v>0</v>
      </c>
      <c r="T67"/>
      <c r="U67" s="994"/>
      <c r="V67" s="995"/>
      <c r="W67" s="267"/>
      <c r="X67" s="267"/>
      <c r="Y67" s="267"/>
      <c r="Z67" s="267"/>
      <c r="AA67" s="267"/>
      <c r="AB67" s="267"/>
      <c r="AC67" s="267"/>
      <c r="AD67" s="267"/>
    </row>
    <row r="68" spans="1:30" ht="26.25" hidden="1" customHeight="1" x14ac:dyDescent="0.2">
      <c r="A68" s="38">
        <v>59</v>
      </c>
      <c r="B68" s="985"/>
      <c r="C68" s="995"/>
      <c r="D68" s="995"/>
      <c r="E68" s="986"/>
      <c r="F68" s="994"/>
      <c r="G68" s="133"/>
      <c r="H68" s="793" t="s">
        <v>632</v>
      </c>
      <c r="I68" s="1124">
        <f t="shared" si="3"/>
        <v>0</v>
      </c>
      <c r="J68" s="391"/>
      <c r="K68" s="388"/>
      <c r="L68" s="996"/>
      <c r="M68" s="390"/>
      <c r="N68" s="390"/>
      <c r="O68" s="991">
        <f t="shared" si="5"/>
        <v>0</v>
      </c>
      <c r="P68" s="989">
        <f>IF(F68="y",((((L68+M68+N68+O68)*I68)*Rates!$C$379))/12,(((L68+M68+N68+O68)*I68)/12))</f>
        <v>0</v>
      </c>
      <c r="Q68" s="990">
        <f t="shared" si="6"/>
        <v>0</v>
      </c>
      <c r="R68" s="992">
        <f t="shared" si="7"/>
        <v>0</v>
      </c>
      <c r="S68" s="993">
        <f t="shared" si="8"/>
        <v>0</v>
      </c>
      <c r="T68"/>
      <c r="U68" s="994"/>
      <c r="V68" s="995"/>
      <c r="W68" s="267"/>
      <c r="X68" s="267"/>
      <c r="Y68" s="267"/>
      <c r="Z68" s="267"/>
      <c r="AA68" s="267"/>
      <c r="AB68" s="267"/>
      <c r="AC68" s="267"/>
      <c r="AD68" s="267"/>
    </row>
    <row r="69" spans="1:30" ht="26.25" hidden="1" customHeight="1" x14ac:dyDescent="0.2">
      <c r="A69" s="38">
        <v>60</v>
      </c>
      <c r="B69" s="985"/>
      <c r="C69" s="995"/>
      <c r="D69" s="995"/>
      <c r="E69" s="986"/>
      <c r="F69" s="994"/>
      <c r="G69" s="133"/>
      <c r="H69" s="793" t="s">
        <v>632</v>
      </c>
      <c r="I69" s="1124">
        <f t="shared" si="3"/>
        <v>0</v>
      </c>
      <c r="J69" s="391"/>
      <c r="K69" s="388"/>
      <c r="L69" s="996"/>
      <c r="M69" s="390"/>
      <c r="N69" s="390"/>
      <c r="O69" s="991">
        <f t="shared" si="5"/>
        <v>0</v>
      </c>
      <c r="P69" s="989">
        <f>IF(F69="y",((((L69+M69+N69+O69)*I69)*Rates!$C$379))/12,(((L69+M69+N69+O69)*I69)/12))</f>
        <v>0</v>
      </c>
      <c r="Q69" s="990">
        <f t="shared" si="6"/>
        <v>0</v>
      </c>
      <c r="R69" s="992">
        <f t="shared" si="7"/>
        <v>0</v>
      </c>
      <c r="S69" s="993">
        <f t="shared" si="8"/>
        <v>0</v>
      </c>
      <c r="T69"/>
      <c r="U69" s="994"/>
      <c r="V69" s="995"/>
      <c r="W69" s="267"/>
      <c r="X69" s="267"/>
      <c r="Y69" s="267"/>
      <c r="Z69" s="267"/>
      <c r="AA69" s="267"/>
      <c r="AB69" s="267"/>
      <c r="AC69" s="267"/>
      <c r="AD69" s="267"/>
    </row>
    <row r="70" spans="1:30" ht="26.25" hidden="1" customHeight="1" x14ac:dyDescent="0.2">
      <c r="A70" s="38">
        <v>61</v>
      </c>
      <c r="B70" s="985"/>
      <c r="C70" s="995"/>
      <c r="D70" s="995"/>
      <c r="E70" s="986"/>
      <c r="F70" s="994"/>
      <c r="G70" s="133"/>
      <c r="H70" s="793" t="s">
        <v>632</v>
      </c>
      <c r="I70" s="1124">
        <f t="shared" si="3"/>
        <v>0</v>
      </c>
      <c r="J70" s="391"/>
      <c r="K70" s="388"/>
      <c r="L70" s="996"/>
      <c r="M70" s="390"/>
      <c r="N70" s="390"/>
      <c r="O70" s="991">
        <f t="shared" si="5"/>
        <v>0</v>
      </c>
      <c r="P70" s="989">
        <f>IF(F70="y",((((L70+M70+N70+O70)*I70)*Rates!$C$379))/12,(((L70+M70+N70+O70)*I70)/12))</f>
        <v>0</v>
      </c>
      <c r="Q70" s="990">
        <f t="shared" si="6"/>
        <v>0</v>
      </c>
      <c r="R70" s="992">
        <f t="shared" si="7"/>
        <v>0</v>
      </c>
      <c r="S70" s="993">
        <f t="shared" si="8"/>
        <v>0</v>
      </c>
      <c r="T70"/>
      <c r="U70" s="994"/>
      <c r="V70" s="995"/>
      <c r="W70" s="267"/>
      <c r="X70" s="267"/>
      <c r="Y70" s="267"/>
      <c r="Z70" s="267"/>
      <c r="AA70" s="267"/>
      <c r="AB70" s="267"/>
      <c r="AC70" s="267"/>
      <c r="AD70" s="267"/>
    </row>
    <row r="71" spans="1:30" ht="26.25" hidden="1" customHeight="1" x14ac:dyDescent="0.2">
      <c r="A71" s="38">
        <v>62</v>
      </c>
      <c r="B71" s="985"/>
      <c r="C71" s="995"/>
      <c r="D71" s="995"/>
      <c r="E71" s="986"/>
      <c r="F71" s="994"/>
      <c r="G71" s="133"/>
      <c r="H71" s="793" t="s">
        <v>632</v>
      </c>
      <c r="I71" s="1124">
        <f t="shared" si="3"/>
        <v>0</v>
      </c>
      <c r="J71" s="391"/>
      <c r="K71" s="388"/>
      <c r="L71" s="996"/>
      <c r="M71" s="390"/>
      <c r="N71" s="390"/>
      <c r="O71" s="991">
        <f t="shared" si="5"/>
        <v>0</v>
      </c>
      <c r="P71" s="989">
        <f>IF(F71="y",((((L71+M71+N71+O71)*I71)*Rates!$C$379))/12,(((L71+M71+N71+O71)*I71)/12))</f>
        <v>0</v>
      </c>
      <c r="Q71" s="990">
        <f t="shared" si="6"/>
        <v>0</v>
      </c>
      <c r="R71" s="992">
        <f t="shared" si="7"/>
        <v>0</v>
      </c>
      <c r="S71" s="993">
        <f t="shared" si="8"/>
        <v>0</v>
      </c>
      <c r="T71"/>
      <c r="U71" s="994"/>
      <c r="V71" s="995"/>
      <c r="W71" s="267"/>
      <c r="X71" s="267"/>
      <c r="Y71" s="267"/>
      <c r="Z71" s="267"/>
      <c r="AA71" s="267"/>
      <c r="AB71" s="267"/>
      <c r="AC71" s="267"/>
      <c r="AD71" s="267"/>
    </row>
    <row r="72" spans="1:30" ht="26.25" hidden="1" customHeight="1" x14ac:dyDescent="0.2">
      <c r="A72" s="38">
        <v>63</v>
      </c>
      <c r="B72" s="985"/>
      <c r="C72" s="995"/>
      <c r="D72" s="995"/>
      <c r="E72" s="986"/>
      <c r="F72" s="994"/>
      <c r="G72" s="133"/>
      <c r="H72" s="793" t="s">
        <v>632</v>
      </c>
      <c r="I72" s="1124">
        <f t="shared" si="3"/>
        <v>0</v>
      </c>
      <c r="J72" s="391"/>
      <c r="K72" s="388"/>
      <c r="L72" s="996"/>
      <c r="M72" s="390"/>
      <c r="N72" s="390"/>
      <c r="O72" s="991">
        <f t="shared" si="5"/>
        <v>0</v>
      </c>
      <c r="P72" s="989">
        <f>IF(F72="y",((((L72+M72+N72+O72)*I72)*Rates!$C$379))/12,(((L72+M72+N72+O72)*I72)/12))</f>
        <v>0</v>
      </c>
      <c r="Q72" s="990">
        <f t="shared" si="6"/>
        <v>0</v>
      </c>
      <c r="R72" s="992">
        <f t="shared" si="7"/>
        <v>0</v>
      </c>
      <c r="S72" s="993">
        <f t="shared" si="8"/>
        <v>0</v>
      </c>
      <c r="T72"/>
      <c r="U72" s="994"/>
      <c r="V72" s="995"/>
      <c r="W72" s="267"/>
      <c r="X72" s="267"/>
      <c r="Y72" s="267"/>
      <c r="Z72" s="267"/>
      <c r="AA72" s="267"/>
      <c r="AB72" s="267"/>
      <c r="AC72" s="267"/>
      <c r="AD72" s="267"/>
    </row>
    <row r="73" spans="1:30" ht="26.25" hidden="1" customHeight="1" x14ac:dyDescent="0.2">
      <c r="A73" s="38">
        <v>64</v>
      </c>
      <c r="B73" s="985"/>
      <c r="C73" s="995"/>
      <c r="D73" s="995"/>
      <c r="E73" s="986"/>
      <c r="F73" s="994"/>
      <c r="G73" s="133"/>
      <c r="H73" s="793" t="s">
        <v>632</v>
      </c>
      <c r="I73" s="1124">
        <f t="shared" si="3"/>
        <v>0</v>
      </c>
      <c r="J73" s="391"/>
      <c r="K73" s="388"/>
      <c r="L73" s="996"/>
      <c r="M73" s="390"/>
      <c r="N73" s="390"/>
      <c r="O73" s="991">
        <f t="shared" si="5"/>
        <v>0</v>
      </c>
      <c r="P73" s="989">
        <f>IF(F73="y",((((L73+M73+N73+O73)*I73)*Rates!$C$379))/12,(((L73+M73+N73+O73)*I73)/12))</f>
        <v>0</v>
      </c>
      <c r="Q73" s="990">
        <f t="shared" si="6"/>
        <v>0</v>
      </c>
      <c r="R73" s="992">
        <f t="shared" si="7"/>
        <v>0</v>
      </c>
      <c r="S73" s="993">
        <f t="shared" si="8"/>
        <v>0</v>
      </c>
      <c r="T73"/>
      <c r="U73" s="994"/>
      <c r="V73" s="995"/>
      <c r="W73" s="267"/>
      <c r="X73" s="267"/>
      <c r="Y73" s="267"/>
      <c r="Z73" s="267"/>
      <c r="AA73" s="267"/>
      <c r="AB73" s="267"/>
      <c r="AC73" s="267"/>
      <c r="AD73" s="267"/>
    </row>
    <row r="74" spans="1:30" ht="26.25" hidden="1" customHeight="1" x14ac:dyDescent="0.2">
      <c r="A74" s="38">
        <v>65</v>
      </c>
      <c r="B74" s="985"/>
      <c r="C74" s="995"/>
      <c r="D74" s="995"/>
      <c r="E74" s="986"/>
      <c r="F74" s="994"/>
      <c r="G74" s="133"/>
      <c r="H74" s="793" t="s">
        <v>632</v>
      </c>
      <c r="I74" s="1124">
        <f t="shared" si="3"/>
        <v>0</v>
      </c>
      <c r="J74" s="391"/>
      <c r="K74" s="388"/>
      <c r="L74" s="996"/>
      <c r="M74" s="390"/>
      <c r="N74" s="390"/>
      <c r="O74" s="991">
        <f t="shared" si="5"/>
        <v>0</v>
      </c>
      <c r="P74" s="989">
        <f>IF(F74="y",((((L74+M74+N74+O74)*I74)*Rates!$C$379))/12,(((L74+M74+N74+O74)*I74)/12))</f>
        <v>0</v>
      </c>
      <c r="Q74" s="990">
        <f t="shared" si="6"/>
        <v>0</v>
      </c>
      <c r="R74" s="992">
        <f t="shared" si="7"/>
        <v>0</v>
      </c>
      <c r="S74" s="993">
        <f t="shared" si="8"/>
        <v>0</v>
      </c>
      <c r="T74"/>
      <c r="U74" s="994"/>
      <c r="V74" s="995"/>
      <c r="W74" s="267"/>
      <c r="X74" s="267"/>
      <c r="Y74" s="267"/>
      <c r="Z74" s="267"/>
      <c r="AA74" s="267"/>
      <c r="AB74" s="267"/>
      <c r="AC74" s="267"/>
      <c r="AD74" s="267"/>
    </row>
    <row r="75" spans="1:30" ht="26.25" hidden="1" customHeight="1" x14ac:dyDescent="0.2">
      <c r="A75" s="38">
        <v>66</v>
      </c>
      <c r="B75" s="985"/>
      <c r="C75" s="995"/>
      <c r="D75" s="995"/>
      <c r="E75" s="986"/>
      <c r="F75" s="994"/>
      <c r="G75" s="133"/>
      <c r="H75" s="793" t="s">
        <v>632</v>
      </c>
      <c r="I75" s="1124">
        <f t="shared" ref="I75:I109" si="9">ROUND(J75,2)</f>
        <v>0</v>
      </c>
      <c r="J75" s="391"/>
      <c r="K75" s="388"/>
      <c r="L75" s="996"/>
      <c r="M75" s="390"/>
      <c r="N75" s="390"/>
      <c r="O75" s="991">
        <f t="shared" si="5"/>
        <v>0</v>
      </c>
      <c r="P75" s="989">
        <f>IF(F75="y",((((L75+M75+N75+O75)*I75)*Rates!$C$379))/12,(((L75+M75+N75+O75)*I75)/12))</f>
        <v>0</v>
      </c>
      <c r="Q75" s="990">
        <f t="shared" si="6"/>
        <v>0</v>
      </c>
      <c r="R75" s="992">
        <f t="shared" si="7"/>
        <v>0</v>
      </c>
      <c r="S75" s="993">
        <f t="shared" si="8"/>
        <v>0</v>
      </c>
      <c r="T75"/>
      <c r="U75" s="994"/>
      <c r="V75" s="995"/>
      <c r="W75" s="267"/>
      <c r="X75" s="267"/>
      <c r="Y75" s="267"/>
      <c r="Z75" s="267"/>
      <c r="AA75" s="267"/>
      <c r="AB75" s="267"/>
      <c r="AC75" s="267"/>
      <c r="AD75" s="267"/>
    </row>
    <row r="76" spans="1:30" ht="26.25" hidden="1" customHeight="1" x14ac:dyDescent="0.2">
      <c r="A76" s="38">
        <v>67</v>
      </c>
      <c r="B76" s="985"/>
      <c r="C76" s="995"/>
      <c r="D76" s="995"/>
      <c r="E76" s="986"/>
      <c r="F76" s="994"/>
      <c r="G76" s="133"/>
      <c r="H76" s="793" t="s">
        <v>632</v>
      </c>
      <c r="I76" s="1124">
        <f t="shared" si="9"/>
        <v>0</v>
      </c>
      <c r="J76" s="391"/>
      <c r="K76" s="388"/>
      <c r="L76" s="996"/>
      <c r="M76" s="390"/>
      <c r="N76" s="390"/>
      <c r="O76" s="991">
        <f t="shared" si="5"/>
        <v>0</v>
      </c>
      <c r="P76" s="989">
        <f>IF(F76="y",((((L76+M76+N76+O76)*I76)*Rates!$C$379))/12,(((L76+M76+N76+O76)*I76)/12))</f>
        <v>0</v>
      </c>
      <c r="Q76" s="990">
        <f t="shared" si="6"/>
        <v>0</v>
      </c>
      <c r="R76" s="992">
        <f t="shared" si="7"/>
        <v>0</v>
      </c>
      <c r="S76" s="993">
        <f t="shared" si="8"/>
        <v>0</v>
      </c>
      <c r="T76"/>
      <c r="U76" s="994"/>
      <c r="V76" s="995"/>
      <c r="W76" s="267"/>
      <c r="X76" s="267"/>
      <c r="Y76" s="267"/>
      <c r="Z76" s="267"/>
      <c r="AA76" s="267"/>
      <c r="AB76" s="267"/>
      <c r="AC76" s="267"/>
      <c r="AD76" s="267"/>
    </row>
    <row r="77" spans="1:30" ht="26.25" hidden="1" customHeight="1" x14ac:dyDescent="0.2">
      <c r="A77" s="38">
        <v>68</v>
      </c>
      <c r="B77" s="985"/>
      <c r="C77" s="995"/>
      <c r="D77" s="995"/>
      <c r="E77" s="986"/>
      <c r="F77" s="994"/>
      <c r="G77" s="133"/>
      <c r="H77" s="793" t="s">
        <v>632</v>
      </c>
      <c r="I77" s="1124">
        <f t="shared" si="9"/>
        <v>0</v>
      </c>
      <c r="J77" s="391"/>
      <c r="K77" s="388"/>
      <c r="L77" s="996"/>
      <c r="M77" s="390"/>
      <c r="N77" s="390"/>
      <c r="O77" s="991">
        <f t="shared" si="5"/>
        <v>0</v>
      </c>
      <c r="P77" s="989">
        <f>IF(F77="y",((((L77+M77+N77+O77)*I77)*Rates!$C$379))/12,(((L77+M77+N77+O77)*I77)/12))</f>
        <v>0</v>
      </c>
      <c r="Q77" s="990">
        <f t="shared" si="6"/>
        <v>0</v>
      </c>
      <c r="R77" s="992">
        <f t="shared" si="7"/>
        <v>0</v>
      </c>
      <c r="S77" s="993">
        <f t="shared" si="8"/>
        <v>0</v>
      </c>
      <c r="T77"/>
      <c r="U77" s="994"/>
      <c r="V77" s="995"/>
      <c r="W77" s="267"/>
      <c r="X77" s="267"/>
      <c r="Y77" s="267"/>
      <c r="Z77" s="267"/>
      <c r="AA77" s="267"/>
      <c r="AB77" s="267"/>
      <c r="AC77" s="267"/>
      <c r="AD77" s="267"/>
    </row>
    <row r="78" spans="1:30" ht="26.25" hidden="1" customHeight="1" x14ac:dyDescent="0.2">
      <c r="A78" s="38">
        <v>69</v>
      </c>
      <c r="B78" s="985"/>
      <c r="C78" s="995"/>
      <c r="D78" s="995"/>
      <c r="E78" s="986"/>
      <c r="F78" s="994"/>
      <c r="G78" s="133"/>
      <c r="H78" s="793" t="s">
        <v>632</v>
      </c>
      <c r="I78" s="1124">
        <f t="shared" si="9"/>
        <v>0</v>
      </c>
      <c r="J78" s="391"/>
      <c r="K78" s="388"/>
      <c r="L78" s="996"/>
      <c r="M78" s="390"/>
      <c r="N78" s="390"/>
      <c r="O78" s="991">
        <f t="shared" si="5"/>
        <v>0</v>
      </c>
      <c r="P78" s="989">
        <f>IF(F78="y",((((L78+M78+N78+O78)*I78)*Rates!$C$379))/12,(((L78+M78+N78+O78)*I78)/12))</f>
        <v>0</v>
      </c>
      <c r="Q78" s="990">
        <f t="shared" si="6"/>
        <v>0</v>
      </c>
      <c r="R78" s="992">
        <f t="shared" si="7"/>
        <v>0</v>
      </c>
      <c r="S78" s="993">
        <f t="shared" si="8"/>
        <v>0</v>
      </c>
      <c r="T78"/>
      <c r="U78" s="994"/>
      <c r="V78" s="995"/>
      <c r="W78" s="267"/>
      <c r="X78" s="267"/>
      <c r="Y78" s="267"/>
      <c r="Z78" s="267"/>
      <c r="AA78" s="267"/>
      <c r="AB78" s="267"/>
      <c r="AC78" s="267"/>
      <c r="AD78" s="267"/>
    </row>
    <row r="79" spans="1:30" ht="26.25" hidden="1" customHeight="1" x14ac:dyDescent="0.2">
      <c r="A79" s="38">
        <v>70</v>
      </c>
      <c r="B79" s="985"/>
      <c r="C79" s="995"/>
      <c r="D79" s="995"/>
      <c r="E79" s="986"/>
      <c r="F79" s="994"/>
      <c r="G79" s="133"/>
      <c r="H79" s="793" t="s">
        <v>632</v>
      </c>
      <c r="I79" s="1124">
        <f t="shared" si="9"/>
        <v>0</v>
      </c>
      <c r="J79" s="391"/>
      <c r="K79" s="388"/>
      <c r="L79" s="996"/>
      <c r="M79" s="390"/>
      <c r="N79" s="390"/>
      <c r="O79" s="991">
        <f t="shared" si="5"/>
        <v>0</v>
      </c>
      <c r="P79" s="989">
        <f>IF(F79="y",((((L79+M79+N79+O79)*I79)*Rates!$C$379))/12,(((L79+M79+N79+O79)*I79)/12))</f>
        <v>0</v>
      </c>
      <c r="Q79" s="990">
        <f t="shared" si="6"/>
        <v>0</v>
      </c>
      <c r="R79" s="992">
        <f t="shared" si="7"/>
        <v>0</v>
      </c>
      <c r="S79" s="993">
        <f t="shared" si="8"/>
        <v>0</v>
      </c>
      <c r="T79"/>
      <c r="U79" s="994"/>
      <c r="V79" s="995"/>
      <c r="W79" s="267"/>
      <c r="X79" s="267"/>
      <c r="Y79" s="267"/>
      <c r="Z79" s="267"/>
      <c r="AA79" s="267"/>
      <c r="AB79" s="267"/>
      <c r="AC79" s="267"/>
      <c r="AD79" s="267"/>
    </row>
    <row r="80" spans="1:30" ht="26.25" hidden="1" customHeight="1" x14ac:dyDescent="0.2">
      <c r="A80" s="38">
        <v>71</v>
      </c>
      <c r="B80" s="985"/>
      <c r="C80" s="995"/>
      <c r="D80" s="995"/>
      <c r="E80" s="986"/>
      <c r="F80" s="994"/>
      <c r="G80" s="133"/>
      <c r="H80" s="793" t="s">
        <v>632</v>
      </c>
      <c r="I80" s="1124">
        <f t="shared" si="9"/>
        <v>0</v>
      </c>
      <c r="J80" s="391"/>
      <c r="K80" s="388"/>
      <c r="L80" s="996"/>
      <c r="M80" s="390"/>
      <c r="N80" s="390"/>
      <c r="O80" s="991">
        <f t="shared" si="5"/>
        <v>0</v>
      </c>
      <c r="P80" s="989">
        <f>IF(F80="y",((((L80+M80+N80+O80)*I80)*Rates!$C$379))/12,(((L80+M80+N80+O80)*I80)/12))</f>
        <v>0</v>
      </c>
      <c r="Q80" s="990">
        <f t="shared" si="6"/>
        <v>0</v>
      </c>
      <c r="R80" s="992">
        <f t="shared" si="7"/>
        <v>0</v>
      </c>
      <c r="S80" s="993">
        <f t="shared" si="8"/>
        <v>0</v>
      </c>
      <c r="T80"/>
      <c r="U80" s="994"/>
      <c r="V80" s="995"/>
      <c r="W80" s="267"/>
      <c r="X80" s="267"/>
      <c r="Y80" s="267"/>
      <c r="Z80" s="267"/>
      <c r="AA80" s="267"/>
      <c r="AB80" s="267"/>
      <c r="AC80" s="267"/>
      <c r="AD80" s="267"/>
    </row>
    <row r="81" spans="1:30" ht="26.25" hidden="1" customHeight="1" x14ac:dyDescent="0.2">
      <c r="A81" s="38">
        <v>72</v>
      </c>
      <c r="B81" s="985"/>
      <c r="C81" s="995"/>
      <c r="D81" s="995"/>
      <c r="E81" s="986"/>
      <c r="F81" s="994"/>
      <c r="G81" s="133"/>
      <c r="H81" s="793" t="s">
        <v>632</v>
      </c>
      <c r="I81" s="1124">
        <f t="shared" si="9"/>
        <v>0</v>
      </c>
      <c r="J81" s="391"/>
      <c r="K81" s="388"/>
      <c r="L81" s="996"/>
      <c r="M81" s="390"/>
      <c r="N81" s="390"/>
      <c r="O81" s="991">
        <f t="shared" si="5"/>
        <v>0</v>
      </c>
      <c r="P81" s="989">
        <f>IF(F81="y",((((L81+M81+N81+O81)*I81)*Rates!$C$379))/12,(((L81+M81+N81+O81)*I81)/12))</f>
        <v>0</v>
      </c>
      <c r="Q81" s="990">
        <f t="shared" si="6"/>
        <v>0</v>
      </c>
      <c r="R81" s="992">
        <f t="shared" si="7"/>
        <v>0</v>
      </c>
      <c r="S81" s="993">
        <f t="shared" si="8"/>
        <v>0</v>
      </c>
      <c r="T81"/>
      <c r="U81" s="994"/>
      <c r="V81" s="995"/>
      <c r="W81" s="267"/>
      <c r="X81" s="267"/>
      <c r="Y81" s="267"/>
      <c r="Z81" s="267"/>
      <c r="AA81" s="267"/>
      <c r="AB81" s="267"/>
      <c r="AC81" s="267"/>
      <c r="AD81" s="267"/>
    </row>
    <row r="82" spans="1:30" ht="26.25" hidden="1" customHeight="1" x14ac:dyDescent="0.2">
      <c r="A82" s="38">
        <v>73</v>
      </c>
      <c r="B82" s="985"/>
      <c r="C82" s="995"/>
      <c r="D82" s="995"/>
      <c r="E82" s="986"/>
      <c r="F82" s="994"/>
      <c r="G82" s="133"/>
      <c r="H82" s="793" t="s">
        <v>632</v>
      </c>
      <c r="I82" s="1124">
        <f t="shared" si="9"/>
        <v>0</v>
      </c>
      <c r="J82" s="391"/>
      <c r="K82" s="388"/>
      <c r="L82" s="996"/>
      <c r="M82" s="390"/>
      <c r="N82" s="390"/>
      <c r="O82" s="991">
        <f t="shared" si="5"/>
        <v>0</v>
      </c>
      <c r="P82" s="989">
        <f>IF(F82="y",((((L82+M82+N82+O82)*I82)*Rates!$C$379))/12,(((L82+M82+N82+O82)*I82)/12))</f>
        <v>0</v>
      </c>
      <c r="Q82" s="990">
        <f t="shared" si="6"/>
        <v>0</v>
      </c>
      <c r="R82" s="992">
        <f t="shared" si="7"/>
        <v>0</v>
      </c>
      <c r="S82" s="993">
        <f t="shared" si="8"/>
        <v>0</v>
      </c>
      <c r="T82"/>
      <c r="U82" s="994"/>
      <c r="V82" s="995"/>
      <c r="W82" s="267"/>
      <c r="X82" s="267"/>
      <c r="Y82" s="267"/>
      <c r="Z82" s="267"/>
      <c r="AA82" s="267"/>
      <c r="AB82" s="267"/>
      <c r="AC82" s="267"/>
      <c r="AD82" s="267"/>
    </row>
    <row r="83" spans="1:30" ht="26.25" hidden="1" customHeight="1" x14ac:dyDescent="0.2">
      <c r="A83" s="38">
        <v>74</v>
      </c>
      <c r="B83" s="985"/>
      <c r="C83" s="995"/>
      <c r="D83" s="995"/>
      <c r="E83" s="986"/>
      <c r="F83" s="994"/>
      <c r="G83" s="133"/>
      <c r="H83" s="793" t="s">
        <v>632</v>
      </c>
      <c r="I83" s="1124">
        <f t="shared" si="9"/>
        <v>0</v>
      </c>
      <c r="J83" s="391"/>
      <c r="K83" s="388"/>
      <c r="L83" s="996"/>
      <c r="M83" s="390"/>
      <c r="N83" s="390"/>
      <c r="O83" s="991">
        <f t="shared" si="5"/>
        <v>0</v>
      </c>
      <c r="P83" s="989">
        <f>IF(F83="y",((((L83+M83+N83+O83)*I83)*Rates!$C$379))/12,(((L83+M83+N83+O83)*I83)/12))</f>
        <v>0</v>
      </c>
      <c r="Q83" s="990">
        <f t="shared" si="6"/>
        <v>0</v>
      </c>
      <c r="R83" s="992">
        <f t="shared" si="7"/>
        <v>0</v>
      </c>
      <c r="S83" s="993">
        <f t="shared" si="8"/>
        <v>0</v>
      </c>
      <c r="T83"/>
      <c r="U83" s="994"/>
      <c r="V83" s="995"/>
      <c r="W83" s="267"/>
      <c r="X83" s="267"/>
      <c r="Y83" s="267"/>
      <c r="Z83" s="267"/>
      <c r="AA83" s="267"/>
      <c r="AB83" s="267"/>
      <c r="AC83" s="267"/>
      <c r="AD83" s="267"/>
    </row>
    <row r="84" spans="1:30" ht="26.25" hidden="1" customHeight="1" x14ac:dyDescent="0.2">
      <c r="A84" s="38">
        <v>75</v>
      </c>
      <c r="B84" s="985"/>
      <c r="C84" s="995"/>
      <c r="D84" s="995"/>
      <c r="E84" s="986"/>
      <c r="F84" s="994"/>
      <c r="G84" s="133"/>
      <c r="H84" s="793" t="s">
        <v>632</v>
      </c>
      <c r="I84" s="1124">
        <f t="shared" si="9"/>
        <v>0</v>
      </c>
      <c r="J84" s="391"/>
      <c r="K84" s="388"/>
      <c r="L84" s="996"/>
      <c r="M84" s="390"/>
      <c r="N84" s="390"/>
      <c r="O84" s="991">
        <f t="shared" ref="O84:O109" si="10">IF(H84="y",0,((L84+N84)*$O$9))</f>
        <v>0</v>
      </c>
      <c r="P84" s="989">
        <f>IF(F84="y",((((L84+M84+N84+O84)*I84)*Rates!$C$379))/12,(((L84+M84+N84+O84)*I84)/12))</f>
        <v>0</v>
      </c>
      <c r="Q84" s="990">
        <f t="shared" ref="Q84:Q109" si="11">P84*K84</f>
        <v>0</v>
      </c>
      <c r="R84" s="992">
        <f t="shared" ref="R84:R109" si="12">Q84*$R$9</f>
        <v>0</v>
      </c>
      <c r="S84" s="993">
        <f t="shared" ref="S84:S109" si="13">SUM(R84:R84)</f>
        <v>0</v>
      </c>
      <c r="T84"/>
      <c r="U84" s="994"/>
      <c r="V84" s="995"/>
      <c r="W84" s="267"/>
      <c r="X84" s="267"/>
      <c r="Y84" s="267"/>
      <c r="Z84" s="267"/>
      <c r="AA84" s="267"/>
      <c r="AB84" s="267"/>
      <c r="AC84" s="267"/>
      <c r="AD84" s="267"/>
    </row>
    <row r="85" spans="1:30" ht="26.25" hidden="1" customHeight="1" x14ac:dyDescent="0.2">
      <c r="A85" s="38">
        <v>76</v>
      </c>
      <c r="B85" s="985"/>
      <c r="C85" s="995"/>
      <c r="D85" s="995"/>
      <c r="E85" s="986"/>
      <c r="F85" s="994"/>
      <c r="G85" s="133"/>
      <c r="H85" s="793" t="s">
        <v>632</v>
      </c>
      <c r="I85" s="1124">
        <f t="shared" si="9"/>
        <v>0</v>
      </c>
      <c r="J85" s="391"/>
      <c r="K85" s="388"/>
      <c r="L85" s="996"/>
      <c r="M85" s="390"/>
      <c r="N85" s="390"/>
      <c r="O85" s="991">
        <f t="shared" si="10"/>
        <v>0</v>
      </c>
      <c r="P85" s="989">
        <f>IF(F85="y",((((L85+M85+N85+O85)*I85)*Rates!$C$379))/12,(((L85+M85+N85+O85)*I85)/12))</f>
        <v>0</v>
      </c>
      <c r="Q85" s="990">
        <f t="shared" si="11"/>
        <v>0</v>
      </c>
      <c r="R85" s="992">
        <f t="shared" si="12"/>
        <v>0</v>
      </c>
      <c r="S85" s="993">
        <f t="shared" si="13"/>
        <v>0</v>
      </c>
      <c r="T85"/>
      <c r="U85" s="994"/>
      <c r="V85" s="995"/>
      <c r="W85" s="267"/>
      <c r="X85" s="267"/>
      <c r="Y85" s="267"/>
      <c r="Z85" s="267"/>
      <c r="AA85" s="267"/>
      <c r="AB85" s="267"/>
      <c r="AC85" s="267"/>
      <c r="AD85" s="267"/>
    </row>
    <row r="86" spans="1:30" ht="26.25" hidden="1" customHeight="1" x14ac:dyDescent="0.2">
      <c r="A86" s="38">
        <v>77</v>
      </c>
      <c r="B86" s="985"/>
      <c r="C86" s="995"/>
      <c r="D86" s="995"/>
      <c r="E86" s="986"/>
      <c r="F86" s="994"/>
      <c r="G86" s="133"/>
      <c r="H86" s="793" t="s">
        <v>632</v>
      </c>
      <c r="I86" s="1124">
        <f t="shared" si="9"/>
        <v>0</v>
      </c>
      <c r="J86" s="391"/>
      <c r="K86" s="388"/>
      <c r="L86" s="996"/>
      <c r="M86" s="390"/>
      <c r="N86" s="390"/>
      <c r="O86" s="991">
        <f t="shared" si="10"/>
        <v>0</v>
      </c>
      <c r="P86" s="989">
        <f>IF(F86="y",((((L86+M86+N86+O86)*I86)*Rates!$C$379))/12,(((L86+M86+N86+O86)*I86)/12))</f>
        <v>0</v>
      </c>
      <c r="Q86" s="990">
        <f t="shared" si="11"/>
        <v>0</v>
      </c>
      <c r="R86" s="992">
        <f t="shared" si="12"/>
        <v>0</v>
      </c>
      <c r="S86" s="993">
        <f t="shared" si="13"/>
        <v>0</v>
      </c>
      <c r="T86"/>
      <c r="U86" s="994"/>
      <c r="V86" s="995"/>
      <c r="W86" s="267"/>
      <c r="X86" s="267"/>
      <c r="Y86" s="267"/>
      <c r="Z86" s="267"/>
      <c r="AA86" s="267"/>
      <c r="AB86" s="267"/>
      <c r="AC86" s="267"/>
      <c r="AD86" s="267"/>
    </row>
    <row r="87" spans="1:30" ht="26.25" hidden="1" customHeight="1" x14ac:dyDescent="0.2">
      <c r="A87" s="38">
        <v>78</v>
      </c>
      <c r="B87" s="985"/>
      <c r="C87" s="995"/>
      <c r="D87" s="995"/>
      <c r="E87" s="986"/>
      <c r="F87" s="994"/>
      <c r="G87" s="133"/>
      <c r="H87" s="793" t="s">
        <v>632</v>
      </c>
      <c r="I87" s="1124">
        <f t="shared" si="9"/>
        <v>0</v>
      </c>
      <c r="J87" s="391"/>
      <c r="K87" s="388"/>
      <c r="L87" s="996"/>
      <c r="M87" s="390"/>
      <c r="N87" s="390"/>
      <c r="O87" s="991">
        <f t="shared" si="10"/>
        <v>0</v>
      </c>
      <c r="P87" s="989">
        <f>IF(F87="y",((((L87+M87+N87+O87)*I87)*Rates!$C$379))/12,(((L87+M87+N87+O87)*I87)/12))</f>
        <v>0</v>
      </c>
      <c r="Q87" s="990">
        <f t="shared" si="11"/>
        <v>0</v>
      </c>
      <c r="R87" s="992">
        <f t="shared" si="12"/>
        <v>0</v>
      </c>
      <c r="S87" s="993">
        <f t="shared" si="13"/>
        <v>0</v>
      </c>
      <c r="T87"/>
      <c r="U87" s="994"/>
      <c r="V87" s="995"/>
      <c r="W87" s="267"/>
      <c r="X87" s="267"/>
      <c r="Y87" s="267"/>
      <c r="Z87" s="267"/>
      <c r="AA87" s="267"/>
      <c r="AB87" s="267"/>
      <c r="AC87" s="267"/>
      <c r="AD87" s="267"/>
    </row>
    <row r="88" spans="1:30" ht="26.25" hidden="1" customHeight="1" x14ac:dyDescent="0.2">
      <c r="A88" s="38">
        <v>79</v>
      </c>
      <c r="B88" s="985"/>
      <c r="C88" s="995"/>
      <c r="D88" s="995"/>
      <c r="E88" s="986"/>
      <c r="F88" s="994"/>
      <c r="G88" s="133"/>
      <c r="H88" s="793" t="s">
        <v>632</v>
      </c>
      <c r="I88" s="1124">
        <f t="shared" si="9"/>
        <v>0</v>
      </c>
      <c r="J88" s="391"/>
      <c r="K88" s="388"/>
      <c r="L88" s="996"/>
      <c r="M88" s="390"/>
      <c r="N88" s="390"/>
      <c r="O88" s="991">
        <f t="shared" si="10"/>
        <v>0</v>
      </c>
      <c r="P88" s="989">
        <f>IF(F88="y",((((L88+M88+N88+O88)*I88)*Rates!$C$379))/12,(((L88+M88+N88+O88)*I88)/12))</f>
        <v>0</v>
      </c>
      <c r="Q88" s="990">
        <f t="shared" si="11"/>
        <v>0</v>
      </c>
      <c r="R88" s="992">
        <f t="shared" si="12"/>
        <v>0</v>
      </c>
      <c r="S88" s="993">
        <f t="shared" si="13"/>
        <v>0</v>
      </c>
      <c r="T88"/>
      <c r="U88" s="994"/>
      <c r="V88" s="995"/>
      <c r="W88" s="267"/>
      <c r="X88" s="267"/>
      <c r="Y88" s="267"/>
      <c r="Z88" s="267"/>
      <c r="AA88" s="267"/>
      <c r="AB88" s="267"/>
      <c r="AC88" s="267"/>
      <c r="AD88" s="267"/>
    </row>
    <row r="89" spans="1:30" ht="26.25" hidden="1" customHeight="1" x14ac:dyDescent="0.2">
      <c r="A89" s="38">
        <v>80</v>
      </c>
      <c r="B89" s="985"/>
      <c r="C89" s="995"/>
      <c r="D89" s="995"/>
      <c r="E89" s="986"/>
      <c r="F89" s="994"/>
      <c r="G89" s="133"/>
      <c r="H89" s="793" t="s">
        <v>632</v>
      </c>
      <c r="I89" s="1124">
        <f t="shared" si="9"/>
        <v>0</v>
      </c>
      <c r="J89" s="391"/>
      <c r="K89" s="388"/>
      <c r="L89" s="996"/>
      <c r="M89" s="390"/>
      <c r="N89" s="390"/>
      <c r="O89" s="991">
        <f t="shared" si="10"/>
        <v>0</v>
      </c>
      <c r="P89" s="989">
        <f>IF(F89="y",((((L89+M89+N89+O89)*I89)*Rates!$C$379))/12,(((L89+M89+N89+O89)*I89)/12))</f>
        <v>0</v>
      </c>
      <c r="Q89" s="990">
        <f t="shared" si="11"/>
        <v>0</v>
      </c>
      <c r="R89" s="992">
        <f t="shared" si="12"/>
        <v>0</v>
      </c>
      <c r="S89" s="993">
        <f t="shared" si="13"/>
        <v>0</v>
      </c>
      <c r="T89"/>
      <c r="U89" s="994"/>
      <c r="V89" s="995"/>
      <c r="W89" s="267"/>
      <c r="X89" s="267"/>
      <c r="Y89" s="267"/>
      <c r="Z89" s="267"/>
      <c r="AA89" s="267"/>
      <c r="AB89" s="267"/>
      <c r="AC89" s="267"/>
      <c r="AD89" s="267"/>
    </row>
    <row r="90" spans="1:30" ht="26.25" hidden="1" customHeight="1" x14ac:dyDescent="0.2">
      <c r="A90" s="38">
        <v>81</v>
      </c>
      <c r="B90" s="985"/>
      <c r="C90" s="995"/>
      <c r="D90" s="995"/>
      <c r="E90" s="986"/>
      <c r="F90" s="994"/>
      <c r="G90" s="133"/>
      <c r="H90" s="793" t="s">
        <v>632</v>
      </c>
      <c r="I90" s="1124">
        <f t="shared" si="9"/>
        <v>0</v>
      </c>
      <c r="J90" s="391"/>
      <c r="K90" s="388"/>
      <c r="L90" s="996"/>
      <c r="M90" s="390"/>
      <c r="N90" s="390"/>
      <c r="O90" s="991">
        <f t="shared" si="10"/>
        <v>0</v>
      </c>
      <c r="P90" s="989">
        <f>IF(F90="y",((((L90+M90+N90+O90)*I90)*Rates!$C$379))/12,(((L90+M90+N90+O90)*I90)/12))</f>
        <v>0</v>
      </c>
      <c r="Q90" s="990">
        <f t="shared" si="11"/>
        <v>0</v>
      </c>
      <c r="R90" s="992">
        <f t="shared" si="12"/>
        <v>0</v>
      </c>
      <c r="S90" s="993">
        <f t="shared" si="13"/>
        <v>0</v>
      </c>
      <c r="T90"/>
      <c r="U90" s="994"/>
      <c r="V90" s="995"/>
      <c r="W90" s="267"/>
      <c r="X90" s="267"/>
      <c r="Y90" s="267"/>
      <c r="Z90" s="267"/>
      <c r="AA90" s="267"/>
      <c r="AB90" s="267"/>
      <c r="AC90" s="267"/>
      <c r="AD90" s="267"/>
    </row>
    <row r="91" spans="1:30" ht="26.25" hidden="1" customHeight="1" x14ac:dyDescent="0.2">
      <c r="A91" s="38">
        <v>82</v>
      </c>
      <c r="B91" s="985"/>
      <c r="C91" s="995"/>
      <c r="D91" s="995"/>
      <c r="E91" s="986"/>
      <c r="F91" s="994"/>
      <c r="G91" s="133"/>
      <c r="H91" s="793" t="s">
        <v>632</v>
      </c>
      <c r="I91" s="1124">
        <f t="shared" si="9"/>
        <v>0</v>
      </c>
      <c r="J91" s="391"/>
      <c r="K91" s="388"/>
      <c r="L91" s="996"/>
      <c r="M91" s="390"/>
      <c r="N91" s="390"/>
      <c r="O91" s="991">
        <f t="shared" si="10"/>
        <v>0</v>
      </c>
      <c r="P91" s="989">
        <f>IF(F91="y",((((L91+M91+N91+O91)*I91)*Rates!$C$379))/12,(((L91+M91+N91+O91)*I91)/12))</f>
        <v>0</v>
      </c>
      <c r="Q91" s="990">
        <f t="shared" si="11"/>
        <v>0</v>
      </c>
      <c r="R91" s="992">
        <f t="shared" si="12"/>
        <v>0</v>
      </c>
      <c r="S91" s="993">
        <f t="shared" si="13"/>
        <v>0</v>
      </c>
      <c r="T91"/>
      <c r="U91" s="994"/>
      <c r="V91" s="995"/>
      <c r="W91" s="267"/>
      <c r="X91" s="267"/>
      <c r="Y91" s="267"/>
      <c r="Z91" s="267"/>
      <c r="AA91" s="267"/>
      <c r="AB91" s="267"/>
      <c r="AC91" s="267"/>
      <c r="AD91" s="267"/>
    </row>
    <row r="92" spans="1:30" ht="26.25" hidden="1" customHeight="1" x14ac:dyDescent="0.2">
      <c r="A92" s="38">
        <v>83</v>
      </c>
      <c r="B92" s="985"/>
      <c r="C92" s="995"/>
      <c r="D92" s="995"/>
      <c r="E92" s="986"/>
      <c r="F92" s="994"/>
      <c r="G92" s="133"/>
      <c r="H92" s="793" t="s">
        <v>632</v>
      </c>
      <c r="I92" s="1124">
        <f t="shared" si="9"/>
        <v>0</v>
      </c>
      <c r="J92" s="391"/>
      <c r="K92" s="388"/>
      <c r="L92" s="996"/>
      <c r="M92" s="390"/>
      <c r="N92" s="390"/>
      <c r="O92" s="991">
        <f t="shared" si="10"/>
        <v>0</v>
      </c>
      <c r="P92" s="989">
        <f>IF(F92="y",((((L92+M92+N92+O92)*I92)*Rates!$C$379))/12,(((L92+M92+N92+O92)*I92)/12))</f>
        <v>0</v>
      </c>
      <c r="Q92" s="990">
        <f t="shared" si="11"/>
        <v>0</v>
      </c>
      <c r="R92" s="992">
        <f t="shared" si="12"/>
        <v>0</v>
      </c>
      <c r="S92" s="993">
        <f t="shared" si="13"/>
        <v>0</v>
      </c>
      <c r="T92"/>
      <c r="U92" s="994"/>
      <c r="V92" s="995"/>
      <c r="W92" s="267"/>
      <c r="X92" s="267"/>
      <c r="Y92" s="267"/>
      <c r="Z92" s="267"/>
      <c r="AA92" s="267"/>
      <c r="AB92" s="267"/>
      <c r="AC92" s="267"/>
      <c r="AD92" s="267"/>
    </row>
    <row r="93" spans="1:30" ht="26.25" hidden="1" customHeight="1" x14ac:dyDescent="0.2">
      <c r="A93" s="38">
        <v>84</v>
      </c>
      <c r="B93" s="985"/>
      <c r="C93" s="995"/>
      <c r="D93" s="995"/>
      <c r="E93" s="986"/>
      <c r="F93" s="994"/>
      <c r="G93" s="133"/>
      <c r="H93" s="793" t="s">
        <v>632</v>
      </c>
      <c r="I93" s="1124">
        <f t="shared" si="9"/>
        <v>0</v>
      </c>
      <c r="J93" s="391"/>
      <c r="K93" s="388"/>
      <c r="L93" s="996"/>
      <c r="M93" s="390"/>
      <c r="N93" s="390"/>
      <c r="O93" s="991">
        <f t="shared" si="10"/>
        <v>0</v>
      </c>
      <c r="P93" s="989">
        <f>IF(F93="y",((((L93+M93+N93+O93)*I93)*Rates!$C$379))/12,(((L93+M93+N93+O93)*I93)/12))</f>
        <v>0</v>
      </c>
      <c r="Q93" s="990">
        <f t="shared" si="11"/>
        <v>0</v>
      </c>
      <c r="R93" s="992">
        <f t="shared" si="12"/>
        <v>0</v>
      </c>
      <c r="S93" s="993">
        <f t="shared" si="13"/>
        <v>0</v>
      </c>
      <c r="T93"/>
      <c r="U93" s="994"/>
      <c r="V93" s="995"/>
      <c r="W93" s="267"/>
      <c r="X93" s="267"/>
      <c r="Y93" s="267"/>
      <c r="Z93" s="267"/>
      <c r="AA93" s="267"/>
      <c r="AB93" s="267"/>
      <c r="AC93" s="267"/>
      <c r="AD93" s="267"/>
    </row>
    <row r="94" spans="1:30" ht="26.25" hidden="1" customHeight="1" x14ac:dyDescent="0.2">
      <c r="A94" s="38">
        <v>85</v>
      </c>
      <c r="B94" s="985"/>
      <c r="C94" s="995"/>
      <c r="D94" s="995"/>
      <c r="E94" s="986"/>
      <c r="F94" s="994"/>
      <c r="G94" s="133"/>
      <c r="H94" s="793" t="s">
        <v>632</v>
      </c>
      <c r="I94" s="1124">
        <f t="shared" si="9"/>
        <v>0</v>
      </c>
      <c r="J94" s="391"/>
      <c r="K94" s="388"/>
      <c r="L94" s="996"/>
      <c r="M94" s="390"/>
      <c r="N94" s="390"/>
      <c r="O94" s="991">
        <f t="shared" si="10"/>
        <v>0</v>
      </c>
      <c r="P94" s="989">
        <f>IF(F94="y",((((L94+M94+N94+O94)*I94)*Rates!$C$379))/12,(((L94+M94+N94+O94)*I94)/12))</f>
        <v>0</v>
      </c>
      <c r="Q94" s="990">
        <f t="shared" si="11"/>
        <v>0</v>
      </c>
      <c r="R94" s="992">
        <f t="shared" si="12"/>
        <v>0</v>
      </c>
      <c r="S94" s="993">
        <f t="shared" si="13"/>
        <v>0</v>
      </c>
      <c r="T94"/>
      <c r="U94" s="994"/>
      <c r="V94" s="995"/>
      <c r="W94" s="267"/>
      <c r="X94" s="267"/>
      <c r="Y94" s="267"/>
      <c r="Z94" s="267"/>
      <c r="AA94" s="267"/>
      <c r="AB94" s="267"/>
      <c r="AC94" s="267"/>
      <c r="AD94" s="267"/>
    </row>
    <row r="95" spans="1:30" ht="26.25" hidden="1" customHeight="1" x14ac:dyDescent="0.2">
      <c r="A95" s="38">
        <v>86</v>
      </c>
      <c r="B95" s="985"/>
      <c r="C95" s="995"/>
      <c r="D95" s="995"/>
      <c r="E95" s="986"/>
      <c r="F95" s="994"/>
      <c r="G95" s="133"/>
      <c r="H95" s="793" t="s">
        <v>632</v>
      </c>
      <c r="I95" s="1124">
        <f t="shared" si="9"/>
        <v>0</v>
      </c>
      <c r="J95" s="391"/>
      <c r="K95" s="388"/>
      <c r="L95" s="996"/>
      <c r="M95" s="390"/>
      <c r="N95" s="390"/>
      <c r="O95" s="991">
        <f t="shared" si="10"/>
        <v>0</v>
      </c>
      <c r="P95" s="989">
        <f>IF(F95="y",((((L95+M95+N95+O95)*I95)*Rates!$C$379))/12,(((L95+M95+N95+O95)*I95)/12))</f>
        <v>0</v>
      </c>
      <c r="Q95" s="990">
        <f t="shared" si="11"/>
        <v>0</v>
      </c>
      <c r="R95" s="992">
        <f t="shared" si="12"/>
        <v>0</v>
      </c>
      <c r="S95" s="993">
        <f t="shared" si="13"/>
        <v>0</v>
      </c>
      <c r="T95"/>
      <c r="U95" s="994"/>
      <c r="V95" s="995"/>
      <c r="W95" s="267"/>
      <c r="X95" s="267"/>
      <c r="Y95" s="267"/>
      <c r="Z95" s="267"/>
      <c r="AA95" s="267"/>
      <c r="AB95" s="267"/>
      <c r="AC95" s="267"/>
      <c r="AD95" s="267"/>
    </row>
    <row r="96" spans="1:30" ht="26.25" hidden="1" customHeight="1" x14ac:dyDescent="0.2">
      <c r="A96" s="38">
        <v>87</v>
      </c>
      <c r="B96" s="985"/>
      <c r="C96" s="995"/>
      <c r="D96" s="995"/>
      <c r="E96" s="986"/>
      <c r="F96" s="994"/>
      <c r="G96" s="133"/>
      <c r="H96" s="793" t="s">
        <v>632</v>
      </c>
      <c r="I96" s="1124">
        <f t="shared" si="9"/>
        <v>0</v>
      </c>
      <c r="J96" s="391"/>
      <c r="K96" s="388"/>
      <c r="L96" s="996"/>
      <c r="M96" s="390"/>
      <c r="N96" s="390"/>
      <c r="O96" s="991">
        <f t="shared" si="10"/>
        <v>0</v>
      </c>
      <c r="P96" s="989">
        <f>IF(F96="y",((((L96+M96+N96+O96)*I96)*Rates!$C$379))/12,(((L96+M96+N96+O96)*I96)/12))</f>
        <v>0</v>
      </c>
      <c r="Q96" s="990">
        <f t="shared" si="11"/>
        <v>0</v>
      </c>
      <c r="R96" s="992">
        <f t="shared" si="12"/>
        <v>0</v>
      </c>
      <c r="S96" s="993">
        <f t="shared" si="13"/>
        <v>0</v>
      </c>
      <c r="T96"/>
      <c r="U96" s="994"/>
      <c r="V96" s="995"/>
      <c r="W96" s="267"/>
      <c r="X96" s="267"/>
      <c r="Y96" s="267"/>
      <c r="Z96" s="267"/>
      <c r="AA96" s="267"/>
      <c r="AB96" s="267"/>
      <c r="AC96" s="267"/>
      <c r="AD96" s="267"/>
    </row>
    <row r="97" spans="1:30" ht="26.25" hidden="1" customHeight="1" x14ac:dyDescent="0.2">
      <c r="A97" s="38">
        <v>88</v>
      </c>
      <c r="B97" s="985"/>
      <c r="C97" s="995"/>
      <c r="D97" s="995"/>
      <c r="E97" s="986"/>
      <c r="F97" s="994"/>
      <c r="G97" s="133"/>
      <c r="H97" s="793" t="s">
        <v>632</v>
      </c>
      <c r="I97" s="1124">
        <f t="shared" si="9"/>
        <v>0</v>
      </c>
      <c r="J97" s="391"/>
      <c r="K97" s="388"/>
      <c r="L97" s="996"/>
      <c r="M97" s="390"/>
      <c r="N97" s="390"/>
      <c r="O97" s="991">
        <f t="shared" si="10"/>
        <v>0</v>
      </c>
      <c r="P97" s="989">
        <f>IF(F97="y",((((L97+M97+N97+O97)*I97)*Rates!$C$379))/12,(((L97+M97+N97+O97)*I97)/12))</f>
        <v>0</v>
      </c>
      <c r="Q97" s="990">
        <f t="shared" si="11"/>
        <v>0</v>
      </c>
      <c r="R97" s="992">
        <f t="shared" si="12"/>
        <v>0</v>
      </c>
      <c r="S97" s="993">
        <f t="shared" si="13"/>
        <v>0</v>
      </c>
      <c r="T97"/>
      <c r="U97" s="994"/>
      <c r="V97" s="995"/>
      <c r="W97" s="267"/>
      <c r="X97" s="267"/>
      <c r="Y97" s="267"/>
      <c r="Z97" s="267"/>
      <c r="AA97" s="267"/>
      <c r="AB97" s="267"/>
      <c r="AC97" s="267"/>
      <c r="AD97" s="267"/>
    </row>
    <row r="98" spans="1:30" ht="26.25" hidden="1" customHeight="1" x14ac:dyDescent="0.2">
      <c r="A98" s="38">
        <v>89</v>
      </c>
      <c r="B98" s="985"/>
      <c r="C98" s="995"/>
      <c r="D98" s="995"/>
      <c r="E98" s="986"/>
      <c r="F98" s="994"/>
      <c r="G98" s="133"/>
      <c r="H98" s="793" t="s">
        <v>632</v>
      </c>
      <c r="I98" s="1124">
        <f t="shared" si="9"/>
        <v>0</v>
      </c>
      <c r="J98" s="391"/>
      <c r="K98" s="388"/>
      <c r="L98" s="996"/>
      <c r="M98" s="390"/>
      <c r="N98" s="390"/>
      <c r="O98" s="991">
        <f t="shared" si="10"/>
        <v>0</v>
      </c>
      <c r="P98" s="989">
        <f>IF(F98="y",((((L98+M98+N98+O98)*I98)*Rates!$C$379))/12,(((L98+M98+N98+O98)*I98)/12))</f>
        <v>0</v>
      </c>
      <c r="Q98" s="990">
        <f t="shared" si="11"/>
        <v>0</v>
      </c>
      <c r="R98" s="992">
        <f t="shared" si="12"/>
        <v>0</v>
      </c>
      <c r="S98" s="993">
        <f t="shared" si="13"/>
        <v>0</v>
      </c>
      <c r="T98"/>
      <c r="U98" s="994"/>
      <c r="V98" s="995"/>
      <c r="W98" s="267"/>
      <c r="X98" s="267"/>
      <c r="Y98" s="267"/>
      <c r="Z98" s="267"/>
      <c r="AA98" s="267"/>
      <c r="AB98" s="267"/>
      <c r="AC98" s="267"/>
      <c r="AD98" s="267"/>
    </row>
    <row r="99" spans="1:30" ht="26.25" hidden="1" customHeight="1" x14ac:dyDescent="0.2">
      <c r="A99" s="38">
        <v>90</v>
      </c>
      <c r="B99" s="985"/>
      <c r="C99" s="995"/>
      <c r="D99" s="995"/>
      <c r="E99" s="986"/>
      <c r="F99" s="994"/>
      <c r="G99" s="133"/>
      <c r="H99" s="793" t="s">
        <v>632</v>
      </c>
      <c r="I99" s="1124">
        <f t="shared" si="9"/>
        <v>0</v>
      </c>
      <c r="J99" s="391"/>
      <c r="K99" s="388"/>
      <c r="L99" s="996"/>
      <c r="M99" s="390"/>
      <c r="N99" s="390"/>
      <c r="O99" s="991">
        <f t="shared" si="10"/>
        <v>0</v>
      </c>
      <c r="P99" s="989">
        <f>IF(F99="y",((((L99+M99+N99+O99)*I99)*Rates!$C$379))/12,(((L99+M99+N99+O99)*I99)/12))</f>
        <v>0</v>
      </c>
      <c r="Q99" s="990">
        <f t="shared" si="11"/>
        <v>0</v>
      </c>
      <c r="R99" s="992">
        <f t="shared" si="12"/>
        <v>0</v>
      </c>
      <c r="S99" s="993">
        <f t="shared" si="13"/>
        <v>0</v>
      </c>
      <c r="T99"/>
      <c r="U99" s="994"/>
      <c r="V99" s="995"/>
      <c r="W99" s="267"/>
      <c r="X99" s="267"/>
      <c r="Y99" s="267"/>
      <c r="Z99" s="267"/>
      <c r="AA99" s="267"/>
      <c r="AB99" s="267"/>
      <c r="AC99" s="267"/>
      <c r="AD99" s="267"/>
    </row>
    <row r="100" spans="1:30" ht="26.25" hidden="1" customHeight="1" x14ac:dyDescent="0.2">
      <c r="A100" s="38">
        <v>91</v>
      </c>
      <c r="B100" s="985"/>
      <c r="C100" s="995"/>
      <c r="D100" s="995"/>
      <c r="E100" s="986"/>
      <c r="F100" s="994"/>
      <c r="G100" s="133"/>
      <c r="H100" s="793" t="s">
        <v>632</v>
      </c>
      <c r="I100" s="1124">
        <f t="shared" si="9"/>
        <v>0</v>
      </c>
      <c r="J100" s="391"/>
      <c r="K100" s="388"/>
      <c r="L100" s="996"/>
      <c r="M100" s="390"/>
      <c r="N100" s="390"/>
      <c r="O100" s="991">
        <f t="shared" si="10"/>
        <v>0</v>
      </c>
      <c r="P100" s="989">
        <f>IF(F100="y",((((L100+M100+N100+O100)*I100)*Rates!$C$379))/12,(((L100+M100+N100+O100)*I100)/12))</f>
        <v>0</v>
      </c>
      <c r="Q100" s="990">
        <f t="shared" si="11"/>
        <v>0</v>
      </c>
      <c r="R100" s="992">
        <f t="shared" si="12"/>
        <v>0</v>
      </c>
      <c r="S100" s="993">
        <f t="shared" si="13"/>
        <v>0</v>
      </c>
      <c r="T100"/>
      <c r="U100" s="994"/>
      <c r="V100" s="995"/>
      <c r="W100" s="267"/>
      <c r="X100" s="267"/>
      <c r="Y100" s="267"/>
      <c r="Z100" s="267"/>
      <c r="AA100" s="267"/>
      <c r="AB100" s="267"/>
      <c r="AC100" s="267"/>
      <c r="AD100" s="267"/>
    </row>
    <row r="101" spans="1:30" ht="26.25" hidden="1" customHeight="1" x14ac:dyDescent="0.2">
      <c r="A101" s="38">
        <v>92</v>
      </c>
      <c r="B101" s="985"/>
      <c r="C101" s="995"/>
      <c r="D101" s="995"/>
      <c r="E101" s="986"/>
      <c r="F101" s="994"/>
      <c r="G101" s="133"/>
      <c r="H101" s="793" t="s">
        <v>632</v>
      </c>
      <c r="I101" s="1124">
        <f t="shared" si="9"/>
        <v>0</v>
      </c>
      <c r="J101" s="391"/>
      <c r="K101" s="388"/>
      <c r="L101" s="996"/>
      <c r="M101" s="390"/>
      <c r="N101" s="390"/>
      <c r="O101" s="991">
        <f t="shared" si="10"/>
        <v>0</v>
      </c>
      <c r="P101" s="989">
        <f>IF(F101="y",((((L101+M101+N101+O101)*I101)*Rates!$C$379))/12,(((L101+M101+N101+O101)*I101)/12))</f>
        <v>0</v>
      </c>
      <c r="Q101" s="990">
        <f t="shared" si="11"/>
        <v>0</v>
      </c>
      <c r="R101" s="992">
        <f t="shared" si="12"/>
        <v>0</v>
      </c>
      <c r="S101" s="993">
        <f t="shared" si="13"/>
        <v>0</v>
      </c>
      <c r="T101"/>
      <c r="U101" s="994"/>
      <c r="V101" s="995"/>
      <c r="W101" s="267"/>
      <c r="X101" s="267"/>
      <c r="Y101" s="267"/>
      <c r="Z101" s="267"/>
      <c r="AA101" s="267"/>
      <c r="AB101" s="267"/>
      <c r="AC101" s="267"/>
      <c r="AD101" s="267"/>
    </row>
    <row r="102" spans="1:30" ht="26.25" hidden="1" customHeight="1" x14ac:dyDescent="0.2">
      <c r="A102" s="38">
        <v>93</v>
      </c>
      <c r="B102" s="985"/>
      <c r="C102" s="995"/>
      <c r="D102" s="995"/>
      <c r="E102" s="986"/>
      <c r="F102" s="994"/>
      <c r="G102" s="133"/>
      <c r="H102" s="793" t="s">
        <v>632</v>
      </c>
      <c r="I102" s="1124">
        <f t="shared" si="9"/>
        <v>0</v>
      </c>
      <c r="J102" s="391"/>
      <c r="K102" s="388"/>
      <c r="L102" s="996"/>
      <c r="M102" s="390"/>
      <c r="N102" s="390"/>
      <c r="O102" s="991">
        <f t="shared" si="10"/>
        <v>0</v>
      </c>
      <c r="P102" s="989">
        <f>IF(F102="y",((((L102+M102+N102+O102)*I102)*Rates!$C$379))/12,(((L102+M102+N102+O102)*I102)/12))</f>
        <v>0</v>
      </c>
      <c r="Q102" s="990">
        <f t="shared" si="11"/>
        <v>0</v>
      </c>
      <c r="R102" s="992">
        <f t="shared" si="12"/>
        <v>0</v>
      </c>
      <c r="S102" s="993">
        <f t="shared" si="13"/>
        <v>0</v>
      </c>
      <c r="T102"/>
      <c r="U102" s="994"/>
      <c r="V102" s="995"/>
      <c r="W102" s="267"/>
      <c r="X102" s="267"/>
      <c r="Y102" s="267"/>
      <c r="Z102" s="267"/>
      <c r="AA102" s="267"/>
      <c r="AB102" s="267"/>
      <c r="AC102" s="267"/>
      <c r="AD102" s="267"/>
    </row>
    <row r="103" spans="1:30" ht="26.25" hidden="1" customHeight="1" x14ac:dyDescent="0.2">
      <c r="A103" s="38">
        <v>94</v>
      </c>
      <c r="B103" s="985"/>
      <c r="C103" s="995"/>
      <c r="D103" s="995"/>
      <c r="E103" s="986"/>
      <c r="F103" s="994"/>
      <c r="G103" s="133"/>
      <c r="H103" s="793" t="s">
        <v>632</v>
      </c>
      <c r="I103" s="1124">
        <f t="shared" si="9"/>
        <v>0</v>
      </c>
      <c r="J103" s="391"/>
      <c r="K103" s="388"/>
      <c r="L103" s="996"/>
      <c r="M103" s="390"/>
      <c r="N103" s="390"/>
      <c r="O103" s="991">
        <f t="shared" si="10"/>
        <v>0</v>
      </c>
      <c r="P103" s="989">
        <f>IF(F103="y",((((L103+M103+N103+O103)*I103)*Rates!$C$379))/12,(((L103+M103+N103+O103)*I103)/12))</f>
        <v>0</v>
      </c>
      <c r="Q103" s="990">
        <f t="shared" si="11"/>
        <v>0</v>
      </c>
      <c r="R103" s="992">
        <f t="shared" si="12"/>
        <v>0</v>
      </c>
      <c r="S103" s="993">
        <f t="shared" si="13"/>
        <v>0</v>
      </c>
      <c r="T103"/>
      <c r="U103" s="994"/>
      <c r="V103" s="995"/>
      <c r="W103" s="267"/>
      <c r="X103" s="267"/>
      <c r="Y103" s="267"/>
      <c r="Z103" s="267"/>
      <c r="AA103" s="267"/>
      <c r="AB103" s="267"/>
      <c r="AC103" s="267"/>
      <c r="AD103" s="267"/>
    </row>
    <row r="104" spans="1:30" ht="26.25" hidden="1" customHeight="1" x14ac:dyDescent="0.2">
      <c r="A104" s="38">
        <v>95</v>
      </c>
      <c r="B104" s="985"/>
      <c r="C104" s="995"/>
      <c r="D104" s="995"/>
      <c r="E104" s="986"/>
      <c r="F104" s="994"/>
      <c r="G104" s="133"/>
      <c r="H104" s="793" t="s">
        <v>632</v>
      </c>
      <c r="I104" s="1124">
        <f t="shared" si="9"/>
        <v>0</v>
      </c>
      <c r="J104" s="391"/>
      <c r="K104" s="388"/>
      <c r="L104" s="996"/>
      <c r="M104" s="390"/>
      <c r="N104" s="390"/>
      <c r="O104" s="991">
        <f t="shared" si="10"/>
        <v>0</v>
      </c>
      <c r="P104" s="989">
        <f>IF(F104="y",((((L104+M104+N104+O104)*I104)*Rates!$C$379))/12,(((L104+M104+N104+O104)*I104)/12))</f>
        <v>0</v>
      </c>
      <c r="Q104" s="990">
        <f t="shared" si="11"/>
        <v>0</v>
      </c>
      <c r="R104" s="992">
        <f t="shared" si="12"/>
        <v>0</v>
      </c>
      <c r="S104" s="993">
        <f t="shared" si="13"/>
        <v>0</v>
      </c>
      <c r="T104"/>
      <c r="U104" s="994"/>
      <c r="V104" s="995"/>
      <c r="W104" s="267"/>
      <c r="X104" s="267"/>
      <c r="Y104" s="267"/>
      <c r="Z104" s="267"/>
      <c r="AA104" s="267"/>
      <c r="AB104" s="267"/>
      <c r="AC104" s="267"/>
      <c r="AD104" s="267"/>
    </row>
    <row r="105" spans="1:30" ht="26.25" hidden="1" customHeight="1" x14ac:dyDescent="0.2">
      <c r="A105" s="38">
        <v>96</v>
      </c>
      <c r="B105" s="985"/>
      <c r="C105" s="995"/>
      <c r="D105" s="995"/>
      <c r="E105" s="986"/>
      <c r="F105" s="994"/>
      <c r="G105" s="133"/>
      <c r="H105" s="793" t="s">
        <v>632</v>
      </c>
      <c r="I105" s="1124">
        <f t="shared" si="9"/>
        <v>0</v>
      </c>
      <c r="J105" s="391"/>
      <c r="K105" s="388"/>
      <c r="L105" s="996"/>
      <c r="M105" s="390"/>
      <c r="N105" s="390"/>
      <c r="O105" s="991">
        <f t="shared" si="10"/>
        <v>0</v>
      </c>
      <c r="P105" s="989">
        <f>IF(F105="y",((((L105+M105+N105+O105)*I105)*Rates!$C$379))/12,(((L105+M105+N105+O105)*I105)/12))</f>
        <v>0</v>
      </c>
      <c r="Q105" s="990">
        <f t="shared" si="11"/>
        <v>0</v>
      </c>
      <c r="R105" s="992">
        <f t="shared" si="12"/>
        <v>0</v>
      </c>
      <c r="S105" s="993">
        <f t="shared" si="13"/>
        <v>0</v>
      </c>
      <c r="T105"/>
      <c r="U105" s="994"/>
      <c r="V105" s="995"/>
      <c r="W105" s="267"/>
      <c r="X105" s="267"/>
      <c r="Y105" s="267"/>
      <c r="Z105" s="267"/>
      <c r="AA105" s="267"/>
      <c r="AB105" s="267"/>
      <c r="AC105" s="267"/>
      <c r="AD105" s="267"/>
    </row>
    <row r="106" spans="1:30" ht="26.25" hidden="1" customHeight="1" x14ac:dyDescent="0.2">
      <c r="A106" s="38">
        <v>97</v>
      </c>
      <c r="B106" s="985"/>
      <c r="C106" s="995"/>
      <c r="D106" s="995"/>
      <c r="E106" s="986"/>
      <c r="F106" s="994"/>
      <c r="G106" s="133"/>
      <c r="H106" s="793" t="s">
        <v>632</v>
      </c>
      <c r="I106" s="1124">
        <f t="shared" si="9"/>
        <v>0</v>
      </c>
      <c r="J106" s="391"/>
      <c r="K106" s="388"/>
      <c r="L106" s="996"/>
      <c r="M106" s="390"/>
      <c r="N106" s="390"/>
      <c r="O106" s="991">
        <f t="shared" si="10"/>
        <v>0</v>
      </c>
      <c r="P106" s="989">
        <f>IF(F106="y",((((L106+M106+N106+O106)*I106)*Rates!$C$379))/12,(((L106+M106+N106+O106)*I106)/12))</f>
        <v>0</v>
      </c>
      <c r="Q106" s="990">
        <f t="shared" si="11"/>
        <v>0</v>
      </c>
      <c r="R106" s="992">
        <f t="shared" si="12"/>
        <v>0</v>
      </c>
      <c r="S106" s="993">
        <f t="shared" si="13"/>
        <v>0</v>
      </c>
      <c r="T106"/>
      <c r="U106" s="994"/>
      <c r="V106" s="995"/>
      <c r="W106" s="267"/>
      <c r="X106" s="267"/>
      <c r="Y106" s="267"/>
      <c r="Z106" s="267"/>
      <c r="AA106" s="267"/>
      <c r="AB106" s="267"/>
      <c r="AC106" s="267"/>
      <c r="AD106" s="267"/>
    </row>
    <row r="107" spans="1:30" ht="26.25" hidden="1" customHeight="1" x14ac:dyDescent="0.2">
      <c r="A107" s="38">
        <v>98</v>
      </c>
      <c r="B107" s="985"/>
      <c r="C107" s="995"/>
      <c r="D107" s="995"/>
      <c r="E107" s="986"/>
      <c r="F107" s="994"/>
      <c r="G107" s="133"/>
      <c r="H107" s="793" t="s">
        <v>632</v>
      </c>
      <c r="I107" s="1124">
        <f t="shared" si="9"/>
        <v>0</v>
      </c>
      <c r="J107" s="391"/>
      <c r="K107" s="388"/>
      <c r="L107" s="996"/>
      <c r="M107" s="390"/>
      <c r="N107" s="390"/>
      <c r="O107" s="991">
        <f t="shared" si="10"/>
        <v>0</v>
      </c>
      <c r="P107" s="989">
        <f>IF(F107="y",((((L107+M107+N107+O107)*I107)*Rates!$C$379))/12,(((L107+M107+N107+O107)*I107)/12))</f>
        <v>0</v>
      </c>
      <c r="Q107" s="990">
        <f t="shared" si="11"/>
        <v>0</v>
      </c>
      <c r="R107" s="992">
        <f t="shared" si="12"/>
        <v>0</v>
      </c>
      <c r="S107" s="993">
        <f t="shared" si="13"/>
        <v>0</v>
      </c>
      <c r="T107"/>
      <c r="U107" s="994"/>
      <c r="V107" s="995"/>
      <c r="W107" s="267"/>
      <c r="X107" s="267"/>
      <c r="Y107" s="267"/>
      <c r="Z107" s="267"/>
      <c r="AA107" s="267"/>
      <c r="AB107" s="267"/>
      <c r="AC107" s="267"/>
      <c r="AD107" s="267"/>
    </row>
    <row r="108" spans="1:30" ht="26.25" hidden="1" customHeight="1" x14ac:dyDescent="0.2">
      <c r="A108" s="38">
        <v>99</v>
      </c>
      <c r="B108" s="985"/>
      <c r="C108" s="995"/>
      <c r="D108" s="995"/>
      <c r="E108" s="986"/>
      <c r="F108" s="994"/>
      <c r="G108" s="133"/>
      <c r="H108" s="793" t="s">
        <v>632</v>
      </c>
      <c r="I108" s="1124">
        <f t="shared" si="9"/>
        <v>0</v>
      </c>
      <c r="J108" s="391"/>
      <c r="K108" s="388"/>
      <c r="L108" s="996"/>
      <c r="M108" s="390"/>
      <c r="N108" s="390"/>
      <c r="O108" s="991">
        <f t="shared" si="10"/>
        <v>0</v>
      </c>
      <c r="P108" s="989">
        <f>IF(F108="y",((((L108+M108+N108+O108)*I108)*Rates!$C$379))/12,(((L108+M108+N108+O108)*I108)/12))</f>
        <v>0</v>
      </c>
      <c r="Q108" s="990">
        <f t="shared" si="11"/>
        <v>0</v>
      </c>
      <c r="R108" s="992">
        <f t="shared" si="12"/>
        <v>0</v>
      </c>
      <c r="S108" s="993">
        <f t="shared" si="13"/>
        <v>0</v>
      </c>
      <c r="T108"/>
      <c r="U108" s="994"/>
      <c r="V108" s="995"/>
      <c r="W108" s="267"/>
      <c r="X108" s="267"/>
      <c r="Y108" s="267"/>
      <c r="Z108" s="267"/>
      <c r="AA108" s="267"/>
      <c r="AB108" s="267"/>
      <c r="AC108" s="267"/>
      <c r="AD108" s="267"/>
    </row>
    <row r="109" spans="1:30" ht="26.25" hidden="1" customHeight="1" x14ac:dyDescent="0.2">
      <c r="A109" s="38">
        <v>100</v>
      </c>
      <c r="B109" s="985"/>
      <c r="C109" s="995"/>
      <c r="D109" s="995"/>
      <c r="E109" s="986"/>
      <c r="F109" s="994"/>
      <c r="G109" s="133"/>
      <c r="H109" s="793" t="s">
        <v>632</v>
      </c>
      <c r="I109" s="1124">
        <f t="shared" si="9"/>
        <v>0</v>
      </c>
      <c r="J109" s="391"/>
      <c r="K109" s="388"/>
      <c r="L109" s="996"/>
      <c r="M109" s="390"/>
      <c r="N109" s="390"/>
      <c r="O109" s="991">
        <f t="shared" si="10"/>
        <v>0</v>
      </c>
      <c r="P109" s="989">
        <f>IF(F109="y",((((L109+M109+N109+O109)*I109)*Rates!$C$379))/12,(((L109+M109+N109+O109)*I109)/12))</f>
        <v>0</v>
      </c>
      <c r="Q109" s="990">
        <f t="shared" si="11"/>
        <v>0</v>
      </c>
      <c r="R109" s="992">
        <f t="shared" si="12"/>
        <v>0</v>
      </c>
      <c r="S109" s="993">
        <f t="shared" si="13"/>
        <v>0</v>
      </c>
      <c r="T109"/>
      <c r="U109" s="994"/>
      <c r="V109" s="995"/>
      <c r="W109" s="267"/>
      <c r="X109" s="267"/>
      <c r="Y109" s="267"/>
      <c r="Z109" s="267"/>
      <c r="AA109" s="267"/>
      <c r="AB109" s="267"/>
      <c r="AC109" s="267"/>
      <c r="AD109" s="267"/>
    </row>
    <row r="110" spans="1:30" ht="12.75" x14ac:dyDescent="0.2">
      <c r="A110" s="38"/>
      <c r="B110" s="38"/>
      <c r="C110" s="38"/>
      <c r="D110" s="38"/>
      <c r="F110" s="38"/>
      <c r="G110" s="131"/>
      <c r="H110" s="38"/>
      <c r="I110" s="38"/>
      <c r="J110" s="38"/>
      <c r="K110" s="38"/>
      <c r="L110" s="38"/>
      <c r="M110" s="38"/>
      <c r="N110" s="38"/>
      <c r="O110" s="38"/>
      <c r="P110" s="38"/>
      <c r="Q110" s="38"/>
      <c r="R110" s="38"/>
      <c r="S110" s="38"/>
      <c r="T110"/>
      <c r="U110" s="38"/>
      <c r="V110" s="1162"/>
    </row>
    <row r="111" spans="1:30" ht="25.5" customHeight="1" x14ac:dyDescent="0.2">
      <c r="A111" s="38"/>
      <c r="B111" s="38" t="s">
        <v>655</v>
      </c>
      <c r="C111" s="796"/>
      <c r="D111" s="796"/>
      <c r="E111" s="796"/>
      <c r="F111" s="796"/>
      <c r="G111" s="796"/>
      <c r="H111" s="39"/>
      <c r="I111" s="998">
        <f>ROUND(SUM(I10:I109),2)</f>
        <v>0</v>
      </c>
      <c r="J111" s="998">
        <f>SUM(J10:J109)</f>
        <v>0</v>
      </c>
      <c r="K111" s="38"/>
      <c r="L111" s="140"/>
      <c r="M111" s="140"/>
      <c r="N111" s="140"/>
      <c r="O111" s="38"/>
      <c r="P111" s="38"/>
      <c r="Q111" s="997">
        <f>SUM(Q10:Q109)</f>
        <v>0</v>
      </c>
      <c r="R111" s="38"/>
      <c r="S111" s="997">
        <f>ROUND(SUM(S10:S109),0)</f>
        <v>0</v>
      </c>
      <c r="T111"/>
      <c r="U111" s="38"/>
      <c r="V111" s="1162"/>
    </row>
    <row r="112" spans="1:30" s="69" customFormat="1" ht="30" customHeight="1" x14ac:dyDescent="0.25">
      <c r="A112" s="441"/>
      <c r="B112" s="1330" t="s">
        <v>3867</v>
      </c>
      <c r="C112" s="1331"/>
      <c r="D112" s="1332"/>
      <c r="E112" s="534"/>
      <c r="F112" s="537"/>
      <c r="G112" s="534"/>
      <c r="H112" s="534"/>
      <c r="I112" s="534"/>
      <c r="J112" s="534"/>
      <c r="K112" s="534"/>
      <c r="L112" s="534"/>
      <c r="M112" s="534"/>
      <c r="N112" s="534"/>
      <c r="O112" s="534"/>
      <c r="T112"/>
      <c r="U112" s="38"/>
      <c r="V112" s="1162"/>
    </row>
    <row r="113" spans="1:22" s="69" customFormat="1" ht="27" customHeight="1" x14ac:dyDescent="0.2">
      <c r="A113" s="441"/>
      <c r="B113" s="1333" t="str">
        <f>"Complete the Create Position request in Workday with the following comment-- 
New Position approved in FY21 Budget on "&amp;'SUMMARY FORM'!N6&amp;"."</f>
        <v>Complete the Create Position request in Workday with the following comment-- 
New Position approved in FY21 Budget on NEW.</v>
      </c>
      <c r="C113" s="1334"/>
      <c r="D113" s="1335"/>
      <c r="E113" s="534"/>
      <c r="F113" s="537"/>
      <c r="G113" s="534"/>
      <c r="H113" s="534"/>
      <c r="I113" s="534"/>
      <c r="J113" s="534"/>
      <c r="K113" s="534"/>
      <c r="L113" s="534"/>
      <c r="M113" s="534"/>
      <c r="N113" s="534"/>
      <c r="O113" s="534"/>
      <c r="T113"/>
      <c r="U113" s="38"/>
      <c r="V113" s="1162"/>
    </row>
    <row r="114" spans="1:22" s="488" customFormat="1" ht="14.25" x14ac:dyDescent="0.2">
      <c r="A114" s="487"/>
      <c r="B114" s="535"/>
      <c r="C114" s="789"/>
      <c r="D114" s="789"/>
      <c r="E114" s="489"/>
      <c r="F114" s="489"/>
      <c r="G114" s="489"/>
      <c r="T114"/>
      <c r="U114" s="38"/>
      <c r="V114" s="1162"/>
    </row>
    <row r="115" spans="1:22" s="488" customFormat="1" ht="12" customHeight="1" x14ac:dyDescent="0.2">
      <c r="A115" s="489"/>
      <c r="B115" s="489"/>
      <c r="C115" s="789"/>
      <c r="D115" s="789"/>
      <c r="E115" s="789"/>
      <c r="F115" s="789"/>
      <c r="G115" s="789"/>
      <c r="H115" s="489"/>
      <c r="I115" s="489"/>
      <c r="J115" s="489"/>
      <c r="K115" s="489"/>
      <c r="L115" s="489"/>
      <c r="M115" s="489"/>
      <c r="N115" s="489"/>
      <c r="O115" s="489"/>
      <c r="P115" s="489"/>
      <c r="Q115" s="489"/>
      <c r="R115" s="489"/>
      <c r="S115" s="489"/>
      <c r="T115"/>
      <c r="U115" s="38"/>
      <c r="V115" s="1162"/>
    </row>
    <row r="116" spans="1:22" s="488" customFormat="1" ht="12" customHeight="1" x14ac:dyDescent="0.2">
      <c r="A116" s="489"/>
      <c r="B116" s="489"/>
      <c r="C116" s="789"/>
      <c r="D116" s="789"/>
      <c r="E116" s="789"/>
      <c r="F116" s="789"/>
      <c r="G116" s="789"/>
      <c r="H116" s="489"/>
      <c r="I116" s="489"/>
      <c r="J116" s="489"/>
      <c r="K116" s="489"/>
      <c r="L116" s="489"/>
      <c r="M116" s="489"/>
      <c r="N116" s="489"/>
      <c r="O116" s="489"/>
      <c r="P116" s="489"/>
      <c r="Q116" s="489"/>
      <c r="R116" s="489"/>
      <c r="S116" s="489"/>
      <c r="T116"/>
      <c r="U116" s="38"/>
      <c r="V116" s="1162"/>
    </row>
    <row r="117" spans="1:22" s="488" customFormat="1" ht="12" customHeight="1" x14ac:dyDescent="0.2">
      <c r="A117" s="489"/>
      <c r="B117" s="489"/>
      <c r="C117" s="789"/>
      <c r="D117" s="789"/>
      <c r="E117" s="789"/>
      <c r="F117" s="789"/>
      <c r="G117" s="789"/>
      <c r="H117" s="489"/>
      <c r="I117" s="489"/>
      <c r="J117" s="489"/>
      <c r="K117" s="489"/>
      <c r="L117" s="489"/>
      <c r="M117" s="489"/>
      <c r="N117" s="489"/>
      <c r="O117" s="489"/>
      <c r="P117" s="489"/>
      <c r="Q117" s="489"/>
      <c r="R117" s="489"/>
      <c r="S117" s="489"/>
      <c r="T117" s="489"/>
      <c r="U117" s="38"/>
      <c r="V117" s="1162"/>
    </row>
    <row r="118" spans="1:22" s="488" customFormat="1" ht="12" customHeight="1" x14ac:dyDescent="0.2">
      <c r="A118" s="489"/>
      <c r="B118" s="489"/>
      <c r="C118" s="789"/>
      <c r="D118" s="789"/>
      <c r="E118" s="789"/>
      <c r="F118" s="789"/>
      <c r="G118" s="789"/>
      <c r="H118" s="489"/>
      <c r="I118" s="489"/>
      <c r="J118" s="489"/>
      <c r="K118" s="489"/>
      <c r="L118" s="489"/>
      <c r="M118" s="489"/>
      <c r="N118" s="489"/>
      <c r="O118" s="489"/>
      <c r="P118" s="489"/>
      <c r="Q118" s="489"/>
      <c r="R118" s="489"/>
      <c r="S118" s="489"/>
      <c r="T118" s="489"/>
      <c r="U118" s="38"/>
      <c r="V118" s="1162"/>
    </row>
    <row r="119" spans="1:22" s="488" customFormat="1" ht="12" customHeight="1" x14ac:dyDescent="0.2">
      <c r="A119" s="489"/>
      <c r="B119" s="489"/>
      <c r="C119" s="789"/>
      <c r="D119" s="789"/>
      <c r="E119" s="789"/>
      <c r="F119" s="789"/>
      <c r="G119" s="789"/>
      <c r="H119" s="489"/>
      <c r="I119" s="489"/>
      <c r="J119" s="489"/>
      <c r="K119" s="489"/>
      <c r="L119" s="489"/>
      <c r="M119" s="489"/>
      <c r="N119" s="489"/>
      <c r="O119" s="489"/>
      <c r="P119" s="489"/>
      <c r="Q119" s="489"/>
      <c r="R119" s="489"/>
      <c r="S119" s="489"/>
      <c r="T119" s="489"/>
      <c r="U119" s="38"/>
      <c r="V119" s="1162"/>
    </row>
    <row r="120" spans="1:22" s="488" customFormat="1" x14ac:dyDescent="0.2">
      <c r="A120" s="489"/>
      <c r="B120" s="489"/>
      <c r="C120" s="489"/>
      <c r="D120" s="489"/>
      <c r="E120" s="507"/>
      <c r="F120" s="489"/>
      <c r="G120" s="489"/>
      <c r="H120" s="489"/>
      <c r="I120" s="489"/>
      <c r="J120" s="489"/>
      <c r="K120" s="489"/>
      <c r="L120" s="489"/>
      <c r="M120" s="489"/>
      <c r="N120" s="489"/>
      <c r="O120" s="489"/>
      <c r="P120" s="489"/>
      <c r="Q120" s="489"/>
      <c r="R120" s="489"/>
      <c r="S120" s="489"/>
      <c r="T120" s="489"/>
      <c r="U120" s="38"/>
      <c r="V120" s="1162"/>
    </row>
    <row r="121" spans="1:22" s="488" customFormat="1" x14ac:dyDescent="0.2">
      <c r="A121" s="489"/>
      <c r="B121" s="489"/>
      <c r="C121" s="489"/>
      <c r="D121" s="489"/>
      <c r="E121" s="507"/>
      <c r="F121" s="489"/>
      <c r="G121" s="489"/>
      <c r="H121" s="489"/>
      <c r="I121" s="489"/>
      <c r="J121" s="489"/>
      <c r="K121" s="489"/>
      <c r="L121" s="489"/>
      <c r="M121" s="489"/>
      <c r="N121" s="489"/>
      <c r="O121" s="489"/>
      <c r="P121" s="489"/>
      <c r="Q121" s="489"/>
      <c r="R121" s="489"/>
      <c r="S121" s="489"/>
      <c r="T121" s="489"/>
      <c r="U121" s="38"/>
      <c r="V121" s="1162"/>
    </row>
    <row r="122" spans="1:22" s="488" customFormat="1" x14ac:dyDescent="0.2">
      <c r="A122" s="489"/>
      <c r="B122" s="489"/>
      <c r="C122" s="489"/>
      <c r="D122" s="489"/>
      <c r="E122" s="507"/>
      <c r="F122" s="489"/>
      <c r="G122" s="489"/>
      <c r="H122" s="489"/>
      <c r="I122" s="489"/>
      <c r="J122" s="489"/>
      <c r="K122" s="489"/>
      <c r="L122" s="489"/>
      <c r="M122" s="489"/>
      <c r="N122" s="489"/>
      <c r="O122" s="489"/>
      <c r="P122" s="489"/>
      <c r="Q122" s="489"/>
      <c r="R122" s="489"/>
      <c r="S122" s="489"/>
      <c r="T122" s="489"/>
      <c r="U122" s="38"/>
      <c r="V122" s="1162"/>
    </row>
    <row r="123" spans="1:22" s="488" customFormat="1" x14ac:dyDescent="0.2">
      <c r="A123" s="489"/>
      <c r="B123" s="489"/>
      <c r="C123" s="489"/>
      <c r="D123" s="489"/>
      <c r="E123" s="507"/>
      <c r="F123" s="489"/>
      <c r="G123" s="489"/>
      <c r="H123" s="489"/>
      <c r="I123" s="489"/>
      <c r="J123" s="489"/>
      <c r="K123" s="489"/>
      <c r="L123" s="489"/>
      <c r="M123" s="489"/>
      <c r="N123" s="489"/>
      <c r="O123" s="489"/>
      <c r="P123" s="489"/>
      <c r="Q123" s="489"/>
      <c r="R123" s="489"/>
      <c r="S123" s="489"/>
      <c r="T123" s="489"/>
      <c r="U123" s="38"/>
      <c r="V123" s="1162"/>
    </row>
    <row r="124" spans="1:22" s="488" customFormat="1" x14ac:dyDescent="0.2">
      <c r="A124" s="489"/>
      <c r="B124" s="489"/>
      <c r="C124" s="489"/>
      <c r="D124" s="489"/>
      <c r="E124" s="507"/>
      <c r="F124" s="489"/>
      <c r="G124" s="489"/>
      <c r="H124" s="489"/>
      <c r="I124" s="489"/>
      <c r="J124" s="489"/>
      <c r="K124" s="489"/>
      <c r="L124" s="489"/>
      <c r="M124" s="489"/>
      <c r="N124" s="489"/>
      <c r="O124" s="489"/>
      <c r="P124" s="489"/>
      <c r="Q124" s="489"/>
      <c r="R124" s="489"/>
      <c r="S124" s="489"/>
      <c r="T124" s="489"/>
      <c r="U124" s="38"/>
      <c r="V124" s="1162"/>
    </row>
    <row r="125" spans="1:22" s="488" customFormat="1" x14ac:dyDescent="0.2">
      <c r="B125" s="489"/>
      <c r="C125" s="489"/>
      <c r="D125" s="489"/>
      <c r="E125" s="507"/>
      <c r="F125" s="489"/>
      <c r="G125" s="489"/>
      <c r="H125" s="489"/>
      <c r="I125" s="489"/>
      <c r="J125" s="489"/>
      <c r="K125" s="489"/>
      <c r="L125" s="489"/>
      <c r="M125" s="489"/>
      <c r="N125" s="489"/>
      <c r="O125" s="489"/>
      <c r="P125" s="489"/>
      <c r="Q125" s="489"/>
      <c r="R125" s="489"/>
      <c r="S125" s="489"/>
      <c r="T125" s="489"/>
      <c r="U125" s="487"/>
      <c r="V125" s="1163"/>
    </row>
    <row r="126" spans="1:22" s="488" customFormat="1" x14ac:dyDescent="0.2">
      <c r="B126" s="489"/>
      <c r="C126" s="489"/>
      <c r="D126" s="489"/>
      <c r="E126" s="507"/>
      <c r="F126" s="489"/>
      <c r="G126" s="489"/>
      <c r="H126" s="489"/>
      <c r="I126" s="489"/>
      <c r="J126" s="489"/>
      <c r="K126" s="489"/>
      <c r="L126" s="489"/>
      <c r="M126" s="489"/>
      <c r="N126" s="489"/>
      <c r="O126" s="489"/>
      <c r="P126" s="489"/>
      <c r="Q126" s="489"/>
      <c r="R126" s="489"/>
      <c r="S126" s="489"/>
      <c r="T126" s="489"/>
      <c r="U126" s="487"/>
      <c r="V126" s="1163"/>
    </row>
    <row r="127" spans="1:22" s="488" customFormat="1" x14ac:dyDescent="0.2">
      <c r="B127" s="489"/>
      <c r="C127" s="489"/>
      <c r="D127" s="489"/>
      <c r="E127" s="507"/>
      <c r="F127" s="489"/>
      <c r="G127" s="489"/>
      <c r="H127" s="489"/>
      <c r="I127" s="489"/>
      <c r="J127" s="489"/>
      <c r="K127" s="489"/>
      <c r="L127" s="489"/>
      <c r="M127" s="489"/>
      <c r="N127" s="489"/>
      <c r="O127" s="489"/>
      <c r="P127" s="489"/>
      <c r="Q127" s="489"/>
      <c r="R127" s="489"/>
      <c r="S127" s="489"/>
      <c r="T127" s="489"/>
      <c r="U127" s="487"/>
      <c r="V127" s="1163"/>
    </row>
    <row r="128" spans="1:22" s="488" customFormat="1" x14ac:dyDescent="0.2">
      <c r="B128" s="489"/>
      <c r="C128" s="489"/>
      <c r="D128" s="489"/>
      <c r="E128" s="507"/>
      <c r="F128" s="489"/>
      <c r="G128" s="489"/>
      <c r="H128" s="489"/>
      <c r="I128" s="489"/>
      <c r="J128" s="489"/>
      <c r="K128" s="489"/>
      <c r="L128" s="489"/>
      <c r="M128" s="489"/>
      <c r="N128" s="489"/>
      <c r="O128" s="489"/>
      <c r="P128" s="489"/>
      <c r="Q128" s="489"/>
      <c r="R128" s="489"/>
      <c r="S128" s="489"/>
      <c r="T128" s="489"/>
      <c r="U128" s="487"/>
      <c r="V128" s="1163"/>
    </row>
    <row r="129" spans="2:37" s="488" customFormat="1" x14ac:dyDescent="0.2">
      <c r="B129" s="489"/>
      <c r="C129" s="489"/>
      <c r="D129" s="489"/>
      <c r="E129" s="507"/>
      <c r="F129" s="489"/>
      <c r="G129" s="489"/>
      <c r="H129" s="489"/>
      <c r="I129" s="489"/>
      <c r="J129" s="489"/>
      <c r="K129" s="489"/>
      <c r="L129" s="489"/>
      <c r="M129" s="489"/>
      <c r="N129" s="489"/>
      <c r="O129" s="489"/>
      <c r="P129" s="489"/>
      <c r="Q129" s="489"/>
      <c r="R129" s="489"/>
      <c r="S129" s="489"/>
      <c r="T129" s="489"/>
      <c r="U129" s="489"/>
      <c r="V129" s="1164"/>
    </row>
    <row r="130" spans="2:37" x14ac:dyDescent="0.2">
      <c r="B130" s="267"/>
      <c r="C130" s="267"/>
      <c r="D130" s="267"/>
      <c r="F130" s="267"/>
      <c r="G130" s="267"/>
      <c r="H130" s="267"/>
      <c r="I130" s="267"/>
      <c r="J130" s="267"/>
      <c r="K130" s="267"/>
      <c r="L130" s="267"/>
      <c r="M130" s="267"/>
      <c r="N130" s="267"/>
      <c r="O130" s="267"/>
      <c r="P130" s="267"/>
      <c r="Q130" s="267"/>
      <c r="R130" s="267"/>
      <c r="S130" s="267"/>
      <c r="T130" s="267"/>
      <c r="U130" s="489"/>
      <c r="V130" s="1164"/>
      <c r="AJ130" s="488"/>
      <c r="AK130" s="488"/>
    </row>
    <row r="131" spans="2:37" x14ac:dyDescent="0.2">
      <c r="B131" s="267"/>
      <c r="C131" s="267"/>
      <c r="D131" s="267"/>
      <c r="F131" s="267"/>
      <c r="G131" s="267"/>
      <c r="H131" s="267"/>
      <c r="I131" s="267"/>
      <c r="J131" s="267"/>
      <c r="K131" s="267"/>
      <c r="L131" s="267"/>
      <c r="M131" s="267"/>
      <c r="N131" s="267"/>
      <c r="O131" s="267"/>
      <c r="P131" s="267"/>
      <c r="Q131" s="267"/>
      <c r="R131" s="267"/>
      <c r="S131" s="267"/>
      <c r="T131" s="267"/>
      <c r="U131" s="489"/>
      <c r="V131" s="1164"/>
    </row>
    <row r="132" spans="2:37" x14ac:dyDescent="0.2">
      <c r="B132" s="267"/>
      <c r="C132" s="267"/>
      <c r="D132" s="267"/>
      <c r="F132" s="267"/>
      <c r="G132" s="267"/>
      <c r="H132" s="267"/>
      <c r="I132" s="267"/>
      <c r="J132" s="267"/>
      <c r="K132" s="267"/>
      <c r="L132" s="267"/>
      <c r="M132" s="267"/>
      <c r="N132" s="267"/>
      <c r="O132" s="267"/>
      <c r="P132" s="267"/>
      <c r="Q132" s="267"/>
      <c r="R132" s="267"/>
      <c r="S132" s="267"/>
      <c r="T132" s="267"/>
      <c r="U132" s="489"/>
      <c r="V132" s="1164"/>
    </row>
    <row r="133" spans="2:37" x14ac:dyDescent="0.2">
      <c r="U133" s="489"/>
      <c r="V133" s="1164"/>
    </row>
    <row r="134" spans="2:37" x14ac:dyDescent="0.2">
      <c r="U134" s="489"/>
      <c r="V134" s="1164"/>
    </row>
    <row r="135" spans="2:37" x14ac:dyDescent="0.2">
      <c r="U135" s="489"/>
      <c r="V135" s="1164"/>
    </row>
    <row r="136" spans="2:37" x14ac:dyDescent="0.2">
      <c r="U136" s="489"/>
      <c r="V136" s="1164"/>
    </row>
    <row r="137" spans="2:37" x14ac:dyDescent="0.2">
      <c r="U137" s="489"/>
      <c r="V137" s="1164"/>
    </row>
    <row r="138" spans="2:37" x14ac:dyDescent="0.2">
      <c r="U138" s="489"/>
      <c r="V138" s="1164"/>
    </row>
    <row r="139" spans="2:37" x14ac:dyDescent="0.2">
      <c r="U139" s="488"/>
      <c r="V139" s="1165"/>
    </row>
    <row r="140" spans="2:37" x14ac:dyDescent="0.2">
      <c r="U140" s="488"/>
      <c r="V140" s="1165"/>
    </row>
    <row r="141" spans="2:37" x14ac:dyDescent="0.2">
      <c r="U141" s="488"/>
      <c r="V141" s="1165"/>
    </row>
    <row r="142" spans="2:37" x14ac:dyDescent="0.2">
      <c r="U142" s="488"/>
      <c r="V142" s="1165"/>
    </row>
    <row r="143" spans="2:37" x14ac:dyDescent="0.2">
      <c r="U143" s="488"/>
      <c r="V143" s="1165"/>
    </row>
  </sheetData>
  <sheetProtection password="CC75" sheet="1" objects="1" scenarios="1"/>
  <mergeCells count="5">
    <mergeCell ref="B5:F5"/>
    <mergeCell ref="H5:S5"/>
    <mergeCell ref="B112:D112"/>
    <mergeCell ref="B113:D113"/>
    <mergeCell ref="H3:S4"/>
  </mergeCells>
  <conditionalFormatting sqref="H3:S4">
    <cfRule type="notContainsBlanks" dxfId="30" priority="1">
      <formula>LEN(TRIM(H3))&gt;0</formula>
    </cfRule>
  </conditionalFormatting>
  <dataValidations count="19">
    <dataValidation allowBlank="1" showInputMessage="1" showErrorMessage="1" promptTitle="If column (T1) = N" prompt="Split Position: _x000a_Enter the Account Number where balance of FTE will be paid from next year.  (e.g. 2221-254-233F 0.40). " sqref="V9"/>
    <dataValidation allowBlank="1" showInputMessage="1" showErrorMessage="1" promptTitle="If FTE &lt; 1.0:" prompt="If Part-Time position - enter Y in this column_x000a__x000a_If Split Position - enter N in this column AND the Account Number(s) where balance of FTE will be paid from in column (T2)" sqref="U9"/>
    <dataValidation allowBlank="1" showInputMessage="1" showErrorMessage="1" promptTitle="Total Fringe" prompt="On Base Salary amounts - not adjusted for fringe on unpaid leave." sqref="S9"/>
    <dataValidation allowBlank="1" showInputMessage="1" showErrorMessage="1" promptTitle="Total Salary Budget" prompt="Total Salary including Merit, plus Stipend, prorated for FTE and Pay Periods on this account_x000a__x000a_The Unpaid Leave deduction is not budgeted as it is deducted each pay period through payroll_x000a_" sqref="Q9"/>
    <dataValidation allowBlank="1" showInputMessage="1" showErrorMessage="1" promptTitle="Monthly Salary" prompt="(Base salary + Merit + COLA)/12" sqref="P9"/>
    <dataValidation allowBlank="1" showInputMessage="1" showErrorMessage="1" promptTitle="Merit" prompt="Merit awards range from $1,000 to $4,500 per employee.  _x000a_Enter FULL merit award recommended by Dean/Director_x000a__x000a_Formula will adjust for partial FTE" sqref="N9"/>
    <dataValidation allowBlank="1" showInputMessage="1" showErrorMessage="1" promptTitle="Base Salary" prompt="Exising employee (including employees transfering from other accounts): enter current Annualized base Salary.  _x000a__x000a_New employees: enter projected Annualized base Salary ." sqref="L9"/>
    <dataValidation allowBlank="1" showInputMessage="1" showErrorMessage="1" promptTitle="New Hire:" prompt="If this will be a new hire in the next fiscal year enter 'Y' in this field.  For existing employees, including employees transferring from other accounts, leave blank." sqref="H9"/>
    <dataValidation allowBlank="1" showInputMessage="1" showErrorMessage="1" promptTitle="COLA" prompt="Governor's Recommended %" sqref="O9"/>
    <dataValidation allowBlank="1" showInputMessage="1" showErrorMessage="1" promptTitle="Stipend" prompt="Annual Stipend amount per employment document._x000a__x000a_For part-time positions, adjust the Stipend to it's full time equivalent amount._x000a__x000a_E.G. Employee works 20 hrs/wk, annual Stipend $3,000:_x000a_Enter Base Stipend of $6,000." sqref="M9"/>
    <dataValidation allowBlank="1" showInputMessage="1" showErrorMessage="1" promptTitle="FTE" prompt="Enter portion of 1.0 Full Time Equivalent that employee will be paid from this account.  _x000a__x000a_For less than 1.0 FTE, note if the position is part time or enter the account number(s) where the remaining FTE will be paid from in the Personnel Tracking column." sqref="I9:J9"/>
    <dataValidation allowBlank="1" showInputMessage="1" showErrorMessage="1" promptTitle="Pay Per" prompt="Number of Pay periods that the position is projected to be filled next fiscal year." sqref="K9"/>
    <dataValidation allowBlank="1" showInputMessage="1" showErrorMessage="1" promptTitle="Position Title" prompt="List OFFICIAL POSITION TITLE per PDQ/Workday" sqref="C9"/>
    <dataValidation allowBlank="1" showInputMessage="1" showErrorMessage="1" promptTitle="Employee Names" prompt="One line per Position Number.  List ALL EMPLOYEES in the position this FY and enter the total combined Pay Periods to calculate the Projected Actual total position expense for this FY._x000a__x000a_Use the highest Base Salary and prorate the pay periods if necessary" sqref="D9"/>
    <dataValidation allowBlank="1" showInputMessage="1" showErrorMessage="1" promptTitle="Position Number:" prompt="List only NEW Positions." sqref="B9"/>
    <dataValidation allowBlank="1" showInputMessage="1" showErrorMessage="1" promptTitle="EPC" prompt="If employee is on the Employer-Paid Retirement Contribution (EPC) option, enter &quot;Y&quot; in this cell. Salary will be reduced by the EPC factor and Retirement benefits will be calculated at the higher EPC rate.  _x000a__x000a_For non-EPC employees, leave this cell blank." sqref="F9"/>
    <dataValidation type="list" allowBlank="1" showInputMessage="1" showErrorMessage="1" sqref="F10:F109">
      <formula1>$AH$2:$AH$3</formula1>
    </dataValidation>
    <dataValidation type="list" allowBlank="1" showInputMessage="1" showErrorMessage="1" sqref="N10:N109">
      <formula1>$AJ$1:$AJ$8</formula1>
    </dataValidation>
    <dataValidation type="list" allowBlank="1" showInputMessage="1" showErrorMessage="1" sqref="U10:U19">
      <formula1>$AI$2:$AI$4</formula1>
    </dataValidation>
  </dataValidations>
  <printOptions horizontalCentered="1"/>
  <pageMargins left="0" right="0" top="0.4" bottom="0.25" header="0.5" footer="0.5"/>
  <pageSetup scale="84" fitToHeight="4"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AR42"/>
  <sheetViews>
    <sheetView zoomScale="90" zoomScaleNormal="90" workbookViewId="0">
      <pane xSplit="6" ySplit="9" topLeftCell="G10" activePane="bottomRight" state="frozen"/>
      <selection activeCell="N6" sqref="N6"/>
      <selection pane="topRight" activeCell="N6" sqref="N6"/>
      <selection pane="bottomLeft" activeCell="N6" sqref="N6"/>
      <selection pane="bottomRight" activeCell="G1" sqref="G1"/>
    </sheetView>
  </sheetViews>
  <sheetFormatPr defaultColWidth="9.7109375" defaultRowHeight="12" x14ac:dyDescent="0.2"/>
  <cols>
    <col min="1" max="1" width="4.5703125" style="35" bestFit="1" customWidth="1"/>
    <col min="2" max="2" width="10.28515625" style="35" customWidth="1"/>
    <col min="3" max="3" width="34.7109375" style="35" customWidth="1"/>
    <col min="4" max="4" width="35.42578125" style="35" customWidth="1"/>
    <col min="5" max="5" width="6.5703125" style="507" bestFit="1" customWidth="1"/>
    <col min="6" max="6" width="5.7109375" style="35" bestFit="1" customWidth="1"/>
    <col min="7" max="7" width="0.85546875" style="35" customWidth="1"/>
    <col min="8" max="8" width="8.85546875" style="35" hidden="1" customWidth="1"/>
    <col min="9" max="9" width="7.28515625" style="35" customWidth="1"/>
    <col min="10" max="10" width="9.140625" style="35" customWidth="1"/>
    <col min="11" max="11" width="11" style="35" customWidth="1"/>
    <col min="12" max="12" width="10.42578125" style="35" customWidth="1"/>
    <col min="13" max="13" width="7.7109375" style="35" hidden="1" customWidth="1"/>
    <col min="14" max="14" width="12" style="35" customWidth="1"/>
    <col min="15" max="15" width="7.85546875" style="35" hidden="1" customWidth="1"/>
    <col min="16" max="16" width="11.42578125" style="35" customWidth="1"/>
    <col min="17" max="17" width="2.85546875" style="35" customWidth="1"/>
    <col min="18" max="18" width="6.42578125" style="35" bestFit="1" customWidth="1"/>
    <col min="19" max="19" width="8.85546875" style="35" hidden="1" customWidth="1"/>
    <col min="20" max="20" width="7.28515625" style="35" customWidth="1"/>
    <col min="21" max="21" width="9.140625" style="35" bestFit="1" customWidth="1"/>
    <col min="22" max="22" width="7.85546875" style="35" bestFit="1" customWidth="1"/>
    <col min="23" max="23" width="9.28515625" style="35" bestFit="1" customWidth="1"/>
    <col min="24" max="24" width="13.7109375" style="35" hidden="1" customWidth="1"/>
    <col min="25" max="25" width="7.28515625" style="35" hidden="1" customWidth="1"/>
    <col min="26" max="26" width="9.28515625" style="35" hidden="1" customWidth="1"/>
    <col min="27" max="27" width="8.5703125" style="35" bestFit="1" customWidth="1"/>
    <col min="28" max="28" width="7.42578125" style="35" hidden="1" customWidth="1"/>
    <col min="29" max="29" width="11" style="35" customWidth="1"/>
    <col min="30" max="37" width="12" style="35" customWidth="1"/>
    <col min="38" max="39" width="6.7109375" style="35" customWidth="1"/>
    <col min="40" max="40" width="2.42578125" style="35" customWidth="1"/>
    <col min="41" max="41" width="18.7109375" style="35" hidden="1" customWidth="1"/>
    <col min="42" max="42" width="9.140625" style="35" hidden="1" customWidth="1"/>
    <col min="43" max="43" width="6.5703125" style="35" hidden="1" customWidth="1"/>
    <col min="44" max="16384" width="9.7109375" style="35"/>
  </cols>
  <sheetData>
    <row r="1" spans="1:44" s="59" customFormat="1" ht="13.5" thickBot="1" x14ac:dyDescent="0.25">
      <c r="A1" s="128"/>
      <c r="B1" s="94" t="str">
        <f>'SUMMARY FORM'!A2</f>
        <v>FY21 SELF-SUPPORTING BUDGET REQUEST</v>
      </c>
      <c r="C1" s="129"/>
      <c r="D1" s="94"/>
      <c r="E1" s="498"/>
      <c r="F1" s="129"/>
      <c r="G1" s="129"/>
      <c r="H1" s="129"/>
      <c r="I1" s="129"/>
      <c r="J1" s="129"/>
      <c r="K1" s="129"/>
      <c r="L1" s="129"/>
      <c r="M1" s="129"/>
      <c r="N1" s="129"/>
      <c r="O1" s="760"/>
      <c r="P1" s="129"/>
      <c r="Q1" s="129"/>
      <c r="R1" s="129"/>
      <c r="S1" s="129"/>
      <c r="T1" s="129"/>
      <c r="U1" s="129"/>
      <c r="V1" s="129"/>
      <c r="W1" s="129"/>
      <c r="X1" s="129"/>
      <c r="Y1" s="129"/>
      <c r="Z1" s="129"/>
      <c r="AA1" s="129"/>
      <c r="AB1" s="129"/>
      <c r="AC1" s="422" t="s">
        <v>1103</v>
      </c>
      <c r="AN1" s="539"/>
      <c r="AO1" s="334" t="s">
        <v>645</v>
      </c>
      <c r="AP1" s="382" t="s">
        <v>646</v>
      </c>
      <c r="AQ1" s="382" t="s">
        <v>770</v>
      </c>
    </row>
    <row r="2" spans="1:44" ht="12.75" customHeight="1" x14ac:dyDescent="0.2">
      <c r="A2" s="38"/>
      <c r="B2" s="36"/>
      <c r="C2" s="131"/>
      <c r="D2" s="36"/>
      <c r="E2" s="499"/>
      <c r="F2" s="131"/>
      <c r="G2" s="131"/>
      <c r="H2" s="131"/>
      <c r="I2" s="131"/>
      <c r="J2" s="131"/>
      <c r="K2" s="131"/>
      <c r="L2" s="131"/>
      <c r="M2" s="131"/>
      <c r="N2" s="131"/>
      <c r="O2" s="131"/>
      <c r="P2" s="131"/>
      <c r="Q2" s="131"/>
      <c r="R2" s="131"/>
      <c r="S2" s="131"/>
      <c r="T2" s="131"/>
      <c r="U2" s="131"/>
      <c r="V2" s="131"/>
      <c r="W2" s="131"/>
      <c r="X2" s="131"/>
      <c r="Y2" s="131"/>
      <c r="Z2" s="131"/>
      <c r="AA2"/>
      <c r="AB2"/>
      <c r="AC2"/>
      <c r="AN2" s="540"/>
      <c r="AO2" s="335" t="s">
        <v>632</v>
      </c>
      <c r="AP2" s="383"/>
      <c r="AQ2" s="382">
        <v>0</v>
      </c>
      <c r="AR2" s="59"/>
    </row>
    <row r="3" spans="1:44" ht="12.75" x14ac:dyDescent="0.2">
      <c r="A3" s="38"/>
      <c r="B3"/>
      <c r="C3" s="375" t="s">
        <v>641</v>
      </c>
      <c r="D3" s="633" t="str">
        <f>'SUMMARY FORM'!AF2</f>
        <v>0  0  0  NEW</v>
      </c>
      <c r="E3" s="500"/>
      <c r="F3"/>
      <c r="G3"/>
      <c r="H3"/>
      <c r="I3"/>
      <c r="J3"/>
      <c r="K3" s="38"/>
      <c r="L3" s="38"/>
      <c r="M3" s="38"/>
      <c r="N3" s="38"/>
      <c r="O3" s="112"/>
      <c r="Q3" s="112"/>
      <c r="R3" s="1336" t="str">
        <f>IF(S21=T21,"","Note: An FTE is more than two decimal places. Please adjust all FTEs to be two decimal places in length.")</f>
        <v/>
      </c>
      <c r="S3" s="1336"/>
      <c r="T3" s="1336"/>
      <c r="U3" s="1336"/>
      <c r="V3" s="1336"/>
      <c r="W3" s="1336"/>
      <c r="X3" s="1336"/>
      <c r="Y3" s="1336"/>
      <c r="Z3" s="1336"/>
      <c r="AA3" s="1336"/>
      <c r="AB3" s="1336"/>
      <c r="AC3" s="1336"/>
      <c r="AN3" s="540"/>
      <c r="AO3" s="383" t="s">
        <v>639</v>
      </c>
      <c r="AP3" s="383" t="s">
        <v>632</v>
      </c>
      <c r="AQ3" s="35">
        <v>1000</v>
      </c>
    </row>
    <row r="4" spans="1:44" x14ac:dyDescent="0.2">
      <c r="A4" s="38"/>
      <c r="B4" s="38"/>
      <c r="C4" s="38"/>
      <c r="D4" s="38"/>
      <c r="E4" s="501"/>
      <c r="F4" s="38"/>
      <c r="G4" s="131"/>
      <c r="H4" s="38"/>
      <c r="I4" s="38"/>
      <c r="J4" s="38"/>
      <c r="K4" s="38"/>
      <c r="L4" s="38"/>
      <c r="M4" s="38"/>
      <c r="N4" s="38"/>
      <c r="O4" s="38"/>
      <c r="P4" s="38"/>
      <c r="Q4" s="38"/>
      <c r="R4" s="1337"/>
      <c r="S4" s="1337"/>
      <c r="T4" s="1337"/>
      <c r="U4" s="1337"/>
      <c r="V4" s="1337"/>
      <c r="W4" s="1337"/>
      <c r="X4" s="1337"/>
      <c r="Y4" s="1337"/>
      <c r="Z4" s="1337"/>
      <c r="AA4" s="1337"/>
      <c r="AB4" s="1337"/>
      <c r="AC4" s="1337"/>
      <c r="AN4" s="540"/>
      <c r="AP4" s="383" t="s">
        <v>639</v>
      </c>
      <c r="AQ4" s="35">
        <v>1500</v>
      </c>
    </row>
    <row r="5" spans="1:44" s="638" customFormat="1" ht="15.75" x14ac:dyDescent="0.25">
      <c r="A5" s="634"/>
      <c r="B5" s="1339" t="s">
        <v>1206</v>
      </c>
      <c r="C5" s="1340"/>
      <c r="D5" s="1340"/>
      <c r="E5" s="1341"/>
      <c r="F5" s="1340"/>
      <c r="G5" s="635"/>
      <c r="H5" s="1342" t="str">
        <f>'FORM E1'!H5</f>
        <v>FY20 - PROJECTED ACTUAL</v>
      </c>
      <c r="I5" s="1343"/>
      <c r="J5" s="1344"/>
      <c r="K5" s="1344"/>
      <c r="L5" s="1344"/>
      <c r="M5" s="1345"/>
      <c r="N5" s="1344"/>
      <c r="O5" s="1344"/>
      <c r="P5" s="1346"/>
      <c r="Q5" s="636"/>
      <c r="R5" s="1347" t="str">
        <f>'FORM E1'!S5</f>
        <v xml:space="preserve">FY21 BUDGET </v>
      </c>
      <c r="S5" s="1341"/>
      <c r="T5" s="1328"/>
      <c r="U5" s="1341"/>
      <c r="V5" s="1341"/>
      <c r="W5" s="1341"/>
      <c r="X5" s="1341"/>
      <c r="Y5" s="1341"/>
      <c r="Z5" s="1341"/>
      <c r="AA5" s="1341"/>
      <c r="AB5" s="1341"/>
      <c r="AC5" s="1348"/>
      <c r="AD5" s="637"/>
      <c r="AE5" s="637"/>
      <c r="AF5" s="637"/>
      <c r="AG5" s="637"/>
      <c r="AH5" s="637"/>
      <c r="AI5" s="637"/>
      <c r="AJ5" s="637"/>
      <c r="AK5" s="637"/>
      <c r="AN5" s="639"/>
      <c r="AQ5" s="638">
        <v>2000</v>
      </c>
    </row>
    <row r="6" spans="1:44" ht="15" customHeight="1" x14ac:dyDescent="0.2">
      <c r="A6" s="38"/>
      <c r="B6" s="40" t="s">
        <v>2</v>
      </c>
      <c r="C6" s="132" t="s">
        <v>3</v>
      </c>
      <c r="D6" s="41" t="s">
        <v>4</v>
      </c>
      <c r="E6" s="502" t="s">
        <v>5</v>
      </c>
      <c r="F6" s="497" t="s">
        <v>6</v>
      </c>
      <c r="G6" s="133"/>
      <c r="H6" s="69"/>
      <c r="I6" s="72" t="s">
        <v>7</v>
      </c>
      <c r="J6" s="42" t="s">
        <v>8</v>
      </c>
      <c r="K6" s="372" t="s">
        <v>9</v>
      </c>
      <c r="L6" s="372" t="s">
        <v>10</v>
      </c>
      <c r="M6" s="372"/>
      <c r="N6" s="372"/>
      <c r="O6" s="43"/>
      <c r="P6" s="43"/>
      <c r="Q6" s="12"/>
      <c r="R6" s="42" t="s">
        <v>11</v>
      </c>
      <c r="S6" s="42"/>
      <c r="T6" s="42" t="s">
        <v>12</v>
      </c>
      <c r="U6" s="42" t="s">
        <v>13</v>
      </c>
      <c r="V6" s="42" t="s">
        <v>14</v>
      </c>
      <c r="W6" s="372" t="s">
        <v>1</v>
      </c>
      <c r="X6" s="42" t="s">
        <v>771</v>
      </c>
      <c r="Y6" s="42"/>
      <c r="Z6" s="42"/>
      <c r="AA6" s="42"/>
      <c r="AB6" s="43"/>
      <c r="AC6" s="43"/>
      <c r="AN6" s="540"/>
      <c r="AQ6" s="35">
        <v>2500</v>
      </c>
    </row>
    <row r="7" spans="1:44" x14ac:dyDescent="0.2">
      <c r="A7" s="38"/>
      <c r="B7" s="44"/>
      <c r="C7" s="92"/>
      <c r="D7" s="92"/>
      <c r="E7" s="503"/>
      <c r="F7" s="93"/>
      <c r="G7" s="133"/>
      <c r="H7" s="1121"/>
      <c r="I7" s="955"/>
      <c r="J7" s="113"/>
      <c r="K7" s="92" t="str">
        <f>'SUMMARY FORM'!J15</f>
        <v>FY20</v>
      </c>
      <c r="L7" s="92" t="str">
        <f>'SUMMARY FORM'!J15</f>
        <v>FY20</v>
      </c>
      <c r="M7" s="640"/>
      <c r="N7" s="333" t="str">
        <f>K7</f>
        <v>FY20</v>
      </c>
      <c r="O7" s="647" t="s">
        <v>18</v>
      </c>
      <c r="P7" s="1100" t="str">
        <f>N7</f>
        <v>FY20</v>
      </c>
      <c r="Q7" s="12"/>
      <c r="R7" s="44" t="s">
        <v>350</v>
      </c>
      <c r="S7" s="1121"/>
      <c r="T7" s="955"/>
      <c r="U7" s="113"/>
      <c r="V7" s="45" t="str">
        <f>'SUMMARY FORM'!N15</f>
        <v>FY21</v>
      </c>
      <c r="W7" s="92" t="str">
        <f>'SUMMARY FORM'!N15</f>
        <v>FY21</v>
      </c>
      <c r="X7" s="551"/>
      <c r="Y7" s="716" t="str">
        <f>'SUMMARY FORM'!N15</f>
        <v>FY21</v>
      </c>
      <c r="Z7" s="644"/>
      <c r="AA7" s="333" t="str">
        <f>'SUMMARY FORM'!N15</f>
        <v>FY21</v>
      </c>
      <c r="AB7" s="647" t="s">
        <v>18</v>
      </c>
      <c r="AC7" s="333" t="str">
        <f>'SUMMARY FORM'!N15</f>
        <v>FY21</v>
      </c>
      <c r="AD7" s="267"/>
      <c r="AE7" s="267"/>
      <c r="AF7" s="267"/>
      <c r="AG7" s="267"/>
      <c r="AH7" s="267"/>
      <c r="AI7" s="267"/>
      <c r="AJ7" s="267"/>
      <c r="AK7" s="267"/>
      <c r="AN7" s="540"/>
      <c r="AQ7" s="35">
        <v>3000</v>
      </c>
    </row>
    <row r="8" spans="1:44" x14ac:dyDescent="0.2">
      <c r="A8" s="38"/>
      <c r="B8" s="46" t="s">
        <v>244</v>
      </c>
      <c r="C8" s="93"/>
      <c r="D8" s="93" t="s">
        <v>0</v>
      </c>
      <c r="E8" s="503"/>
      <c r="F8" s="93"/>
      <c r="G8" s="133"/>
      <c r="H8" s="1122" t="s">
        <v>3866</v>
      </c>
      <c r="I8" s="966"/>
      <c r="J8" s="41" t="s">
        <v>345</v>
      </c>
      <c r="K8" s="93" t="s">
        <v>20</v>
      </c>
      <c r="L8" s="93" t="s">
        <v>20</v>
      </c>
      <c r="M8" s="1101" t="s">
        <v>333</v>
      </c>
      <c r="N8" s="474" t="s">
        <v>330</v>
      </c>
      <c r="O8" s="648" t="s">
        <v>1202</v>
      </c>
      <c r="P8" s="967" t="s">
        <v>330</v>
      </c>
      <c r="Q8" s="12"/>
      <c r="R8" s="46" t="s">
        <v>274</v>
      </c>
      <c r="S8" s="1122" t="s">
        <v>3866</v>
      </c>
      <c r="T8" s="966"/>
      <c r="U8" s="41" t="s">
        <v>345</v>
      </c>
      <c r="V8" s="47" t="s">
        <v>20</v>
      </c>
      <c r="W8" s="93" t="s">
        <v>20</v>
      </c>
      <c r="X8" s="552" t="str">
        <f>'SUMMARY FORM'!N15</f>
        <v>FY21</v>
      </c>
      <c r="Y8" s="717" t="s">
        <v>275</v>
      </c>
      <c r="Z8" s="645" t="s">
        <v>333</v>
      </c>
      <c r="AA8" s="474" t="s">
        <v>330</v>
      </c>
      <c r="AB8" s="648" t="s">
        <v>1202</v>
      </c>
      <c r="AC8" s="474" t="s">
        <v>330</v>
      </c>
      <c r="AD8" s="267"/>
      <c r="AE8" s="267"/>
      <c r="AF8" s="267"/>
      <c r="AG8" s="267"/>
      <c r="AH8" s="267"/>
      <c r="AI8" s="267"/>
      <c r="AJ8" s="267"/>
      <c r="AK8" s="267"/>
      <c r="AL8" s="496"/>
      <c r="AM8" s="496"/>
      <c r="AN8" s="541"/>
      <c r="AO8" s="496"/>
      <c r="AP8" s="496"/>
      <c r="AQ8" s="35">
        <v>4500</v>
      </c>
    </row>
    <row r="9" spans="1:44" x14ac:dyDescent="0.2">
      <c r="A9" s="38"/>
      <c r="B9" s="49" t="s">
        <v>15</v>
      </c>
      <c r="C9" s="50" t="s">
        <v>16</v>
      </c>
      <c r="D9" s="48" t="s">
        <v>3859</v>
      </c>
      <c r="E9" s="504" t="s">
        <v>726</v>
      </c>
      <c r="F9" s="339" t="s">
        <v>579</v>
      </c>
      <c r="G9" s="133"/>
      <c r="H9" s="1123" t="s">
        <v>243</v>
      </c>
      <c r="I9" s="339" t="s">
        <v>243</v>
      </c>
      <c r="J9" s="353" t="s">
        <v>591</v>
      </c>
      <c r="K9" s="48" t="s">
        <v>245</v>
      </c>
      <c r="L9" s="48" t="s">
        <v>625</v>
      </c>
      <c r="M9" s="1102" t="s">
        <v>245</v>
      </c>
      <c r="N9" s="125" t="s">
        <v>245</v>
      </c>
      <c r="O9" s="702">
        <f>Rates!C367</f>
        <v>0.29799999999999999</v>
      </c>
      <c r="P9" s="978" t="s">
        <v>19</v>
      </c>
      <c r="Q9" s="12"/>
      <c r="R9" s="49" t="str">
        <f>'SUMMARY FORM'!N15</f>
        <v>FY21</v>
      </c>
      <c r="S9" s="1123" t="s">
        <v>243</v>
      </c>
      <c r="T9" s="977" t="s">
        <v>243</v>
      </c>
      <c r="U9" s="51" t="s">
        <v>591</v>
      </c>
      <c r="V9" s="48" t="s">
        <v>245</v>
      </c>
      <c r="W9" s="48" t="s">
        <v>625</v>
      </c>
      <c r="X9" s="553" t="s">
        <v>351</v>
      </c>
      <c r="Y9" s="718">
        <v>0</v>
      </c>
      <c r="Z9" s="646" t="s">
        <v>245</v>
      </c>
      <c r="AA9" s="125" t="s">
        <v>245</v>
      </c>
      <c r="AB9" s="702">
        <f>Rates!C384</f>
        <v>0.29899999999999999</v>
      </c>
      <c r="AC9" s="125" t="s">
        <v>19</v>
      </c>
      <c r="AD9" s="267"/>
      <c r="AE9" s="267"/>
      <c r="AF9" s="267"/>
      <c r="AG9" s="267"/>
      <c r="AH9" s="267"/>
      <c r="AI9" s="267"/>
      <c r="AJ9" s="267"/>
      <c r="AK9" s="267"/>
      <c r="AL9" s="496"/>
      <c r="AM9" s="496"/>
      <c r="AN9" s="541"/>
      <c r="AO9" s="496"/>
      <c r="AP9" s="496"/>
      <c r="AQ9" s="496"/>
      <c r="AR9" s="496"/>
    </row>
    <row r="10" spans="1:44" ht="25.5" customHeight="1" x14ac:dyDescent="0.2">
      <c r="A10" s="38">
        <v>1</v>
      </c>
      <c r="B10" s="379"/>
      <c r="C10" s="495"/>
      <c r="D10" s="495"/>
      <c r="E10" s="505"/>
      <c r="F10" s="387"/>
      <c r="G10" s="133"/>
      <c r="H10" s="1124">
        <f>ROUND(I10,2)</f>
        <v>0</v>
      </c>
      <c r="I10" s="988"/>
      <c r="J10" s="1131"/>
      <c r="K10" s="1130"/>
      <c r="L10" s="447"/>
      <c r="M10" s="630">
        <f>IF(F10="y",(((K10+L10)*Rates!$I$362))/12,((K10+L10)/12))</f>
        <v>0</v>
      </c>
      <c r="N10" s="627">
        <f>M10*J10*H10</f>
        <v>0</v>
      </c>
      <c r="O10" s="631">
        <f>N10*$O$9</f>
        <v>0</v>
      </c>
      <c r="P10" s="632">
        <f>SUM(O10:O10)</f>
        <v>0</v>
      </c>
      <c r="Q10" s="12"/>
      <c r="R10" s="391"/>
      <c r="S10" s="1124">
        <f>ROUND(T10,2)</f>
        <v>0</v>
      </c>
      <c r="T10" s="988"/>
      <c r="U10" s="1131"/>
      <c r="V10" s="1130"/>
      <c r="W10" s="390"/>
      <c r="X10" s="390"/>
      <c r="Y10" s="628">
        <f>IF(R10="y",0,((V10+X10)*$Y$9))</f>
        <v>0</v>
      </c>
      <c r="Z10" s="630">
        <f>IF(F10="y",((((V10+W10+X10+Y10)*S10)*Rates!$C$379))/12,(((V10+W10+X10+Y10)*S10)/12))</f>
        <v>0</v>
      </c>
      <c r="AA10" s="627">
        <f>Z10*U10</f>
        <v>0</v>
      </c>
      <c r="AB10" s="631">
        <f>AA10*$AB$9</f>
        <v>0</v>
      </c>
      <c r="AC10" s="632">
        <f t="shared" ref="AC10:AC19" si="0">SUM(AB10:AB10)</f>
        <v>0</v>
      </c>
      <c r="AD10" s="267"/>
      <c r="AE10" s="267"/>
      <c r="AF10" s="267"/>
      <c r="AG10" s="267"/>
      <c r="AH10" s="267"/>
      <c r="AI10" s="267"/>
      <c r="AJ10" s="267"/>
      <c r="AK10" s="267"/>
      <c r="AQ10" s="496"/>
      <c r="AR10" s="496"/>
    </row>
    <row r="11" spans="1:44" ht="25.5" customHeight="1" x14ac:dyDescent="0.2">
      <c r="A11" s="38">
        <v>2</v>
      </c>
      <c r="B11" s="379"/>
      <c r="C11" s="495"/>
      <c r="D11" s="495"/>
      <c r="E11" s="505"/>
      <c r="F11" s="387"/>
      <c r="G11" s="133"/>
      <c r="H11" s="1124">
        <f t="shared" ref="H11:H19" si="1">ROUND(I11,2)</f>
        <v>0</v>
      </c>
      <c r="I11" s="988"/>
      <c r="J11" s="1131"/>
      <c r="K11" s="1130"/>
      <c r="L11" s="447"/>
      <c r="M11" s="630">
        <f>IF(F11="y",(((K11+L11)*Rates!$I$362))/12,((K11+L11)/12))</f>
        <v>0</v>
      </c>
      <c r="N11" s="627">
        <f t="shared" ref="N11:N19" si="2">M11*J11*H11</f>
        <v>0</v>
      </c>
      <c r="O11" s="631">
        <f t="shared" ref="O11:O19" si="3">N11*$O$9</f>
        <v>0</v>
      </c>
      <c r="P11" s="632">
        <f t="shared" ref="P11:P19" si="4">SUM(O11:O11)</f>
        <v>0</v>
      </c>
      <c r="Q11" s="12"/>
      <c r="R11" s="391"/>
      <c r="S11" s="1124">
        <f t="shared" ref="S11:S19" si="5">ROUND(T11,2)</f>
        <v>0</v>
      </c>
      <c r="T11" s="988"/>
      <c r="U11" s="1131"/>
      <c r="V11" s="1130"/>
      <c r="W11" s="390"/>
      <c r="X11" s="390"/>
      <c r="Y11" s="628">
        <f t="shared" ref="Y11:Y19" si="6">IF(R11="y",0,((V11+X11)*$Y$9))</f>
        <v>0</v>
      </c>
      <c r="Z11" s="630">
        <f>IF(F11="y",((((V11+W11+X11+Y11)*S11)*Rates!$C$379))/12,(((V11+W11+X11+Y11)*S11)/12))</f>
        <v>0</v>
      </c>
      <c r="AA11" s="627">
        <f t="shared" ref="AA11:AA19" si="7">Z11*U11</f>
        <v>0</v>
      </c>
      <c r="AB11" s="631">
        <f t="shared" ref="AB11:AB19" si="8">AA11*$AB$9</f>
        <v>0</v>
      </c>
      <c r="AC11" s="632">
        <f t="shared" si="0"/>
        <v>0</v>
      </c>
      <c r="AD11" s="267"/>
      <c r="AE11" s="267"/>
      <c r="AF11" s="267"/>
      <c r="AG11" s="267"/>
      <c r="AH11" s="267"/>
      <c r="AI11" s="267"/>
      <c r="AJ11" s="267"/>
      <c r="AK11" s="267"/>
    </row>
    <row r="12" spans="1:44" ht="25.5" customHeight="1" x14ac:dyDescent="0.2">
      <c r="A12" s="38">
        <v>3</v>
      </c>
      <c r="B12" s="379"/>
      <c r="C12" s="495"/>
      <c r="D12" s="495"/>
      <c r="E12" s="505"/>
      <c r="F12" s="387"/>
      <c r="G12" s="133"/>
      <c r="H12" s="1124">
        <f t="shared" si="1"/>
        <v>0</v>
      </c>
      <c r="I12" s="988"/>
      <c r="J12" s="1131"/>
      <c r="K12" s="1130"/>
      <c r="L12" s="447"/>
      <c r="M12" s="630">
        <f>IF(F12="y",(((K12+L12)*Rates!$I$362))/12,((K12+L12)/12))</f>
        <v>0</v>
      </c>
      <c r="N12" s="627">
        <f t="shared" si="2"/>
        <v>0</v>
      </c>
      <c r="O12" s="631">
        <f t="shared" si="3"/>
        <v>0</v>
      </c>
      <c r="P12" s="632">
        <f t="shared" si="4"/>
        <v>0</v>
      </c>
      <c r="Q12" s="12"/>
      <c r="R12" s="391"/>
      <c r="S12" s="1124">
        <f t="shared" si="5"/>
        <v>0</v>
      </c>
      <c r="T12" s="988"/>
      <c r="U12" s="1131"/>
      <c r="V12" s="1130"/>
      <c r="W12" s="390"/>
      <c r="X12" s="390"/>
      <c r="Y12" s="628">
        <f t="shared" si="6"/>
        <v>0</v>
      </c>
      <c r="Z12" s="630">
        <f>IF(F12="y",((((V12+W12+X12+Y12)*S12)*Rates!$C$379))/12,(((V12+W12+X12+Y12)*S12)/12))</f>
        <v>0</v>
      </c>
      <c r="AA12" s="627">
        <f t="shared" si="7"/>
        <v>0</v>
      </c>
      <c r="AB12" s="631">
        <f t="shared" si="8"/>
        <v>0</v>
      </c>
      <c r="AC12" s="632">
        <f t="shared" si="0"/>
        <v>0</v>
      </c>
      <c r="AD12" s="267"/>
      <c r="AE12" s="267"/>
      <c r="AF12" s="267"/>
      <c r="AG12" s="267"/>
      <c r="AH12" s="267"/>
      <c r="AI12" s="267"/>
      <c r="AJ12" s="267"/>
      <c r="AK12" s="267"/>
    </row>
    <row r="13" spans="1:44" ht="25.5" customHeight="1" x14ac:dyDescent="0.2">
      <c r="A13" s="38">
        <v>4</v>
      </c>
      <c r="B13" s="379"/>
      <c r="C13" s="495"/>
      <c r="D13" s="495"/>
      <c r="E13" s="505"/>
      <c r="F13" s="387"/>
      <c r="G13" s="133"/>
      <c r="H13" s="1124">
        <f t="shared" si="1"/>
        <v>0</v>
      </c>
      <c r="I13" s="988"/>
      <c r="J13" s="1131"/>
      <c r="K13" s="1130"/>
      <c r="L13" s="447"/>
      <c r="M13" s="630">
        <f>IF(F13="y",(((K13+L13)*Rates!$I$362))/12,((K13+L13)/12))</f>
        <v>0</v>
      </c>
      <c r="N13" s="627">
        <f t="shared" si="2"/>
        <v>0</v>
      </c>
      <c r="O13" s="631">
        <f t="shared" si="3"/>
        <v>0</v>
      </c>
      <c r="P13" s="632">
        <f t="shared" si="4"/>
        <v>0</v>
      </c>
      <c r="Q13" s="12"/>
      <c r="R13" s="391"/>
      <c r="S13" s="1124">
        <f t="shared" si="5"/>
        <v>0</v>
      </c>
      <c r="T13" s="988"/>
      <c r="U13" s="1131"/>
      <c r="V13" s="1130"/>
      <c r="W13" s="390"/>
      <c r="X13" s="390"/>
      <c r="Y13" s="628">
        <f t="shared" si="6"/>
        <v>0</v>
      </c>
      <c r="Z13" s="630">
        <f>IF(F13="y",((((V13+W13+X13+Y13)*S13)*Rates!$C$379))/12,(((V13+W13+X13+Y13)*S13)/12))</f>
        <v>0</v>
      </c>
      <c r="AA13" s="627">
        <f t="shared" si="7"/>
        <v>0</v>
      </c>
      <c r="AB13" s="631">
        <f t="shared" si="8"/>
        <v>0</v>
      </c>
      <c r="AC13" s="632">
        <f t="shared" si="0"/>
        <v>0</v>
      </c>
      <c r="AD13" s="267"/>
      <c r="AE13" s="267"/>
      <c r="AF13" s="267"/>
      <c r="AG13" s="267"/>
      <c r="AH13" s="267"/>
      <c r="AI13" s="267"/>
      <c r="AJ13" s="267"/>
      <c r="AK13" s="267"/>
    </row>
    <row r="14" spans="1:44" ht="25.5" customHeight="1" x14ac:dyDescent="0.2">
      <c r="A14" s="38">
        <v>5</v>
      </c>
      <c r="B14" s="379"/>
      <c r="C14" s="495"/>
      <c r="D14" s="495"/>
      <c r="E14" s="505"/>
      <c r="F14" s="387"/>
      <c r="G14" s="133"/>
      <c r="H14" s="1124">
        <f t="shared" si="1"/>
        <v>0</v>
      </c>
      <c r="I14" s="988"/>
      <c r="J14" s="1131"/>
      <c r="K14" s="1130"/>
      <c r="L14" s="447"/>
      <c r="M14" s="630">
        <f>IF(F14="y",(((K14+L14)*Rates!$I$362))/12,((K14+L14)/12))</f>
        <v>0</v>
      </c>
      <c r="N14" s="627">
        <f t="shared" si="2"/>
        <v>0</v>
      </c>
      <c r="O14" s="631">
        <f t="shared" si="3"/>
        <v>0</v>
      </c>
      <c r="P14" s="632">
        <f t="shared" si="4"/>
        <v>0</v>
      </c>
      <c r="Q14" s="12"/>
      <c r="R14" s="391"/>
      <c r="S14" s="1124">
        <f t="shared" si="5"/>
        <v>0</v>
      </c>
      <c r="T14" s="988"/>
      <c r="U14" s="1131"/>
      <c r="V14" s="1130"/>
      <c r="W14" s="390"/>
      <c r="X14" s="390"/>
      <c r="Y14" s="628">
        <f t="shared" si="6"/>
        <v>0</v>
      </c>
      <c r="Z14" s="630">
        <f>IF(F14="y",((((V14+W14+X14+Y14)*S14)*Rates!$C$379))/12,(((V14+W14+X14+Y14)*S14)/12))</f>
        <v>0</v>
      </c>
      <c r="AA14" s="627">
        <f t="shared" si="7"/>
        <v>0</v>
      </c>
      <c r="AB14" s="631">
        <f t="shared" si="8"/>
        <v>0</v>
      </c>
      <c r="AC14" s="632">
        <f t="shared" si="0"/>
        <v>0</v>
      </c>
      <c r="AD14" s="267"/>
      <c r="AE14" s="267"/>
      <c r="AF14" s="267"/>
      <c r="AG14" s="267"/>
      <c r="AH14" s="267"/>
      <c r="AI14" s="267"/>
      <c r="AJ14" s="267"/>
      <c r="AK14" s="267"/>
    </row>
    <row r="15" spans="1:44" ht="25.5" customHeight="1" x14ac:dyDescent="0.2">
      <c r="A15" s="38">
        <v>6</v>
      </c>
      <c r="B15" s="379"/>
      <c r="C15" s="495"/>
      <c r="D15" s="495"/>
      <c r="E15" s="505"/>
      <c r="F15" s="387"/>
      <c r="G15" s="133"/>
      <c r="H15" s="1124">
        <f t="shared" si="1"/>
        <v>0</v>
      </c>
      <c r="I15" s="988"/>
      <c r="J15" s="1131"/>
      <c r="K15" s="1130"/>
      <c r="L15" s="447"/>
      <c r="M15" s="630">
        <f>IF(F15="y",(((K15+L15)*Rates!$I$362))/12,((K15+L15)/12))</f>
        <v>0</v>
      </c>
      <c r="N15" s="627">
        <f t="shared" si="2"/>
        <v>0</v>
      </c>
      <c r="O15" s="631">
        <f t="shared" si="3"/>
        <v>0</v>
      </c>
      <c r="P15" s="632">
        <f t="shared" si="4"/>
        <v>0</v>
      </c>
      <c r="Q15" s="12"/>
      <c r="R15" s="391"/>
      <c r="S15" s="1124">
        <f t="shared" si="5"/>
        <v>0</v>
      </c>
      <c r="T15" s="988"/>
      <c r="U15" s="1131"/>
      <c r="V15" s="1130"/>
      <c r="W15" s="390"/>
      <c r="X15" s="390"/>
      <c r="Y15" s="628">
        <f t="shared" si="6"/>
        <v>0</v>
      </c>
      <c r="Z15" s="630">
        <f>IF(F15="y",((((V15+W15+X15+Y15)*S15)*Rates!$C$379))/12,(((V15+W15+X15+Y15)*S15)/12))</f>
        <v>0</v>
      </c>
      <c r="AA15" s="627">
        <f t="shared" si="7"/>
        <v>0</v>
      </c>
      <c r="AB15" s="631">
        <f t="shared" si="8"/>
        <v>0</v>
      </c>
      <c r="AC15" s="632">
        <f t="shared" si="0"/>
        <v>0</v>
      </c>
      <c r="AD15" s="267"/>
      <c r="AE15" s="267"/>
      <c r="AF15" s="267"/>
      <c r="AG15" s="267"/>
      <c r="AH15" s="267"/>
      <c r="AI15" s="267"/>
      <c r="AJ15" s="267"/>
      <c r="AK15" s="267"/>
    </row>
    <row r="16" spans="1:44" ht="25.5" customHeight="1" x14ac:dyDescent="0.2">
      <c r="A16" s="38">
        <v>7</v>
      </c>
      <c r="B16" s="379"/>
      <c r="C16" s="495"/>
      <c r="D16" s="495"/>
      <c r="E16" s="505"/>
      <c r="F16" s="387"/>
      <c r="G16" s="133"/>
      <c r="H16" s="1124">
        <f t="shared" si="1"/>
        <v>0</v>
      </c>
      <c r="I16" s="988"/>
      <c r="J16" s="1131"/>
      <c r="K16" s="1130"/>
      <c r="L16" s="447"/>
      <c r="M16" s="630">
        <f>IF(F16="y",(((K16+L16)*Rates!$I$362))/12,((K16+L16)/12))</f>
        <v>0</v>
      </c>
      <c r="N16" s="627">
        <f t="shared" si="2"/>
        <v>0</v>
      </c>
      <c r="O16" s="631">
        <f t="shared" si="3"/>
        <v>0</v>
      </c>
      <c r="P16" s="632">
        <f t="shared" si="4"/>
        <v>0</v>
      </c>
      <c r="Q16" s="12"/>
      <c r="R16" s="391"/>
      <c r="S16" s="1124">
        <f t="shared" si="5"/>
        <v>0</v>
      </c>
      <c r="T16" s="988"/>
      <c r="U16" s="1131"/>
      <c r="V16" s="1130"/>
      <c r="W16" s="390"/>
      <c r="X16" s="390"/>
      <c r="Y16" s="628">
        <f t="shared" si="6"/>
        <v>0</v>
      </c>
      <c r="Z16" s="630">
        <f>IF(F16="y",((((V16+W16+X16+Y16)*S16)*Rates!$C$379))/12,(((V16+W16+X16+Y16)*S16)/12))</f>
        <v>0</v>
      </c>
      <c r="AA16" s="627">
        <f t="shared" si="7"/>
        <v>0</v>
      </c>
      <c r="AB16" s="631">
        <f t="shared" si="8"/>
        <v>0</v>
      </c>
      <c r="AC16" s="632">
        <f t="shared" si="0"/>
        <v>0</v>
      </c>
      <c r="AD16" s="267"/>
      <c r="AE16" s="267"/>
      <c r="AF16" s="267"/>
      <c r="AG16" s="267"/>
      <c r="AH16" s="267"/>
      <c r="AI16" s="267"/>
      <c r="AJ16" s="267"/>
      <c r="AK16" s="267"/>
    </row>
    <row r="17" spans="1:44" ht="25.5" customHeight="1" x14ac:dyDescent="0.2">
      <c r="A17" s="38">
        <v>8</v>
      </c>
      <c r="B17" s="379"/>
      <c r="C17" s="495"/>
      <c r="D17" s="495"/>
      <c r="E17" s="505"/>
      <c r="F17" s="387"/>
      <c r="G17" s="133"/>
      <c r="H17" s="1124">
        <f t="shared" si="1"/>
        <v>0</v>
      </c>
      <c r="I17" s="988"/>
      <c r="J17" s="1131"/>
      <c r="K17" s="1130"/>
      <c r="L17" s="447"/>
      <c r="M17" s="630">
        <f>IF(F17="y",(((K17+L17)*Rates!$I$362))/12,((K17+L17)/12))</f>
        <v>0</v>
      </c>
      <c r="N17" s="627">
        <f t="shared" si="2"/>
        <v>0</v>
      </c>
      <c r="O17" s="631">
        <f t="shared" si="3"/>
        <v>0</v>
      </c>
      <c r="P17" s="632">
        <f t="shared" si="4"/>
        <v>0</v>
      </c>
      <c r="Q17" s="12"/>
      <c r="R17" s="391"/>
      <c r="S17" s="1124">
        <f t="shared" si="5"/>
        <v>0</v>
      </c>
      <c r="T17" s="988"/>
      <c r="U17" s="1131"/>
      <c r="V17" s="1130"/>
      <c r="W17" s="390"/>
      <c r="X17" s="390"/>
      <c r="Y17" s="628">
        <f t="shared" si="6"/>
        <v>0</v>
      </c>
      <c r="Z17" s="630">
        <f>IF(F17="y",((((V17+W17+X17+Y17)*S17)*Rates!$C$379))/12,(((V17+W17+X17+Y17)*S17)/12))</f>
        <v>0</v>
      </c>
      <c r="AA17" s="627">
        <f t="shared" si="7"/>
        <v>0</v>
      </c>
      <c r="AB17" s="631">
        <f t="shared" si="8"/>
        <v>0</v>
      </c>
      <c r="AC17" s="632">
        <f t="shared" si="0"/>
        <v>0</v>
      </c>
      <c r="AD17" s="267"/>
      <c r="AE17" s="267"/>
      <c r="AF17" s="267"/>
      <c r="AG17" s="267"/>
      <c r="AH17" s="267"/>
      <c r="AI17" s="267"/>
      <c r="AJ17" s="267"/>
      <c r="AK17" s="267"/>
    </row>
    <row r="18" spans="1:44" ht="25.5" customHeight="1" x14ac:dyDescent="0.2">
      <c r="A18" s="38">
        <v>9</v>
      </c>
      <c r="B18" s="379"/>
      <c r="C18" s="495"/>
      <c r="D18" s="495"/>
      <c r="E18" s="505"/>
      <c r="F18" s="387"/>
      <c r="G18" s="133"/>
      <c r="H18" s="1124">
        <f t="shared" si="1"/>
        <v>0</v>
      </c>
      <c r="I18" s="988"/>
      <c r="J18" s="1131"/>
      <c r="K18" s="1130"/>
      <c r="L18" s="447"/>
      <c r="M18" s="630">
        <f>IF(F18="y",(((K18+L18)*Rates!$I$362))/12,((K18+L18)/12))</f>
        <v>0</v>
      </c>
      <c r="N18" s="627">
        <f t="shared" si="2"/>
        <v>0</v>
      </c>
      <c r="O18" s="631">
        <f t="shared" si="3"/>
        <v>0</v>
      </c>
      <c r="P18" s="632">
        <f t="shared" si="4"/>
        <v>0</v>
      </c>
      <c r="Q18" s="12"/>
      <c r="R18" s="391"/>
      <c r="S18" s="1124">
        <f t="shared" si="5"/>
        <v>0</v>
      </c>
      <c r="T18" s="988"/>
      <c r="U18" s="1131"/>
      <c r="V18" s="1130"/>
      <c r="W18" s="390"/>
      <c r="X18" s="390"/>
      <c r="Y18" s="628">
        <f t="shared" si="6"/>
        <v>0</v>
      </c>
      <c r="Z18" s="630">
        <f>IF(F18="y",((((V18+W18+X18+Y18)*S18)*Rates!$C$379))/12,(((V18+W18+X18+Y18)*S18)/12))</f>
        <v>0</v>
      </c>
      <c r="AA18" s="627">
        <f t="shared" si="7"/>
        <v>0</v>
      </c>
      <c r="AB18" s="631">
        <f t="shared" si="8"/>
        <v>0</v>
      </c>
      <c r="AC18" s="632">
        <f t="shared" si="0"/>
        <v>0</v>
      </c>
      <c r="AD18" s="267"/>
      <c r="AE18" s="267"/>
      <c r="AF18" s="267"/>
      <c r="AG18" s="267"/>
      <c r="AH18" s="267"/>
      <c r="AI18" s="267"/>
      <c r="AJ18" s="267"/>
      <c r="AK18" s="267"/>
    </row>
    <row r="19" spans="1:44" ht="26.25" customHeight="1" x14ac:dyDescent="0.2">
      <c r="A19" s="38">
        <v>10</v>
      </c>
      <c r="B19" s="379"/>
      <c r="C19" s="495"/>
      <c r="D19" s="495"/>
      <c r="E19" s="505"/>
      <c r="F19" s="387"/>
      <c r="G19" s="133"/>
      <c r="H19" s="1124">
        <f t="shared" si="1"/>
        <v>0</v>
      </c>
      <c r="I19" s="988"/>
      <c r="J19" s="1131"/>
      <c r="K19" s="1130"/>
      <c r="L19" s="447"/>
      <c r="M19" s="630">
        <f>IF(F19="y",(((K19+L19)*Rates!$I$362))/12,((K19+L19)/12))</f>
        <v>0</v>
      </c>
      <c r="N19" s="627">
        <f t="shared" si="2"/>
        <v>0</v>
      </c>
      <c r="O19" s="631">
        <f t="shared" si="3"/>
        <v>0</v>
      </c>
      <c r="P19" s="632">
        <f t="shared" si="4"/>
        <v>0</v>
      </c>
      <c r="Q19" s="12"/>
      <c r="R19" s="391"/>
      <c r="S19" s="1124">
        <f t="shared" si="5"/>
        <v>0</v>
      </c>
      <c r="T19" s="988"/>
      <c r="U19" s="1131"/>
      <c r="V19" s="1130"/>
      <c r="W19" s="390"/>
      <c r="X19" s="390"/>
      <c r="Y19" s="628">
        <f t="shared" si="6"/>
        <v>0</v>
      </c>
      <c r="Z19" s="630">
        <f>IF(F19="y",((((V19+W19+X19+Y19)*S19)*Rates!$C$379))/12,(((V19+W19+X19+Y19)*S19)/12))</f>
        <v>0</v>
      </c>
      <c r="AA19" s="627">
        <f t="shared" si="7"/>
        <v>0</v>
      </c>
      <c r="AB19" s="631">
        <f t="shared" si="8"/>
        <v>0</v>
      </c>
      <c r="AC19" s="632">
        <f t="shared" si="0"/>
        <v>0</v>
      </c>
      <c r="AD19" s="267"/>
      <c r="AE19" s="267"/>
      <c r="AF19" s="267"/>
      <c r="AG19" s="267"/>
      <c r="AH19" s="267"/>
      <c r="AI19" s="267"/>
      <c r="AJ19" s="267"/>
      <c r="AK19" s="267"/>
    </row>
    <row r="20" spans="1:44" x14ac:dyDescent="0.2">
      <c r="A20" s="38"/>
      <c r="B20" s="38"/>
      <c r="C20" s="38"/>
      <c r="D20" s="38"/>
      <c r="F20" s="38"/>
      <c r="G20" s="131"/>
      <c r="H20" s="138"/>
      <c r="I20" s="138"/>
      <c r="J20" s="138"/>
      <c r="K20" s="138"/>
      <c r="L20" s="138"/>
      <c r="M20" s="138"/>
      <c r="N20" s="138"/>
      <c r="O20" s="138"/>
      <c r="P20" s="138"/>
      <c r="Q20" s="138"/>
      <c r="R20" s="38"/>
      <c r="S20" s="38"/>
      <c r="T20" s="38"/>
      <c r="U20" s="38"/>
      <c r="V20" s="38"/>
      <c r="W20" s="38"/>
      <c r="X20" s="38"/>
      <c r="Y20" s="38"/>
      <c r="Z20" s="38"/>
      <c r="AA20" s="38"/>
      <c r="AB20" s="38"/>
      <c r="AC20" s="38"/>
    </row>
    <row r="21" spans="1:44" ht="25.5" customHeight="1" x14ac:dyDescent="0.2">
      <c r="A21" s="38"/>
      <c r="B21" s="38" t="s">
        <v>655</v>
      </c>
      <c r="C21" s="817" t="s">
        <v>1104</v>
      </c>
      <c r="D21" s="796"/>
      <c r="E21" s="796"/>
      <c r="F21" s="796"/>
      <c r="G21" s="796"/>
      <c r="H21" s="624">
        <f>SUM(H10:H19)</f>
        <v>0</v>
      </c>
      <c r="I21" s="624">
        <f>SUM(I10:I19)</f>
        <v>0</v>
      </c>
      <c r="J21" s="38"/>
      <c r="K21" s="625">
        <f>SUM(K10:K19)</f>
        <v>0</v>
      </c>
      <c r="L21" s="625">
        <f>SUM(L10:L19)</f>
        <v>0</v>
      </c>
      <c r="M21" s="38"/>
      <c r="N21" s="625">
        <f>SUM(N10:N19)</f>
        <v>0</v>
      </c>
      <c r="O21" s="138"/>
      <c r="P21" s="625">
        <f>ROUND(SUM(P10:P19),0)</f>
        <v>0</v>
      </c>
      <c r="Q21" s="38"/>
      <c r="R21" s="39"/>
      <c r="S21" s="626">
        <f>ROUND(SUM(S10:S19),2)</f>
        <v>0</v>
      </c>
      <c r="T21" s="624">
        <f>SUM(T10:T19)</f>
        <v>0</v>
      </c>
      <c r="U21" s="38"/>
      <c r="V21" s="140"/>
      <c r="W21" s="140"/>
      <c r="X21" s="140"/>
      <c r="Y21" s="38"/>
      <c r="Z21" s="38"/>
      <c r="AA21" s="625">
        <f>SUM(AA10:AA19)</f>
        <v>0</v>
      </c>
      <c r="AB21" s="38"/>
      <c r="AC21" s="625">
        <f>ROUND(SUM(AC10:AC19),0)</f>
        <v>0</v>
      </c>
    </row>
    <row r="22" spans="1:44" s="488" customFormat="1" ht="14.25" x14ac:dyDescent="0.2">
      <c r="A22" s="487"/>
      <c r="B22" s="535"/>
      <c r="C22" s="789"/>
      <c r="D22" s="789"/>
      <c r="E22" s="489"/>
      <c r="F22" s="489"/>
      <c r="G22" s="489"/>
      <c r="H22" s="489"/>
      <c r="I22" s="489"/>
      <c r="J22" s="489"/>
      <c r="K22" s="489"/>
      <c r="L22" s="489"/>
      <c r="M22" s="489"/>
      <c r="N22" s="489"/>
      <c r="O22" s="489"/>
      <c r="P22" s="489"/>
      <c r="Q22" s="489"/>
    </row>
    <row r="23" spans="1:44" s="488" customFormat="1" ht="12.75" x14ac:dyDescent="0.2">
      <c r="A23" s="487"/>
      <c r="B23" s="1349" t="str">
        <f>'SUMMARY FORM'!N15&amp;" INSTRUCTIONS HIGHLIGHT:  Temporary Grant Bridge Funding"</f>
        <v>FY21 INSTRUCTIONS HIGHLIGHT:  Temporary Grant Bridge Funding</v>
      </c>
      <c r="C23" s="1349"/>
      <c r="D23" s="1349"/>
      <c r="E23" s="1349"/>
      <c r="F23" s="1349"/>
      <c r="G23" s="487"/>
      <c r="H23" s="487"/>
      <c r="I23" s="487"/>
      <c r="J23" s="487"/>
      <c r="K23" s="487"/>
      <c r="L23" s="489"/>
      <c r="M23" s="487"/>
      <c r="N23" s="487"/>
      <c r="O23" s="487"/>
      <c r="P23" s="487"/>
      <c r="Q23" s="487"/>
      <c r="R23" s="487"/>
      <c r="S23" s="487"/>
      <c r="T23" s="487"/>
      <c r="U23" s="487"/>
      <c r="V23" s="487"/>
      <c r="W23" s="487"/>
      <c r="X23" s="487"/>
      <c r="Y23" s="487"/>
      <c r="Z23" s="487"/>
      <c r="AA23" s="487"/>
      <c r="AB23" s="487"/>
      <c r="AC23" s="487"/>
      <c r="AQ23" s="35"/>
      <c r="AR23" s="35"/>
    </row>
    <row r="24" spans="1:44" s="488" customFormat="1" ht="53.25" customHeight="1" x14ac:dyDescent="0.2">
      <c r="A24" s="487"/>
      <c r="B24" s="1338" t="s">
        <v>1105</v>
      </c>
      <c r="C24" s="1338"/>
      <c r="D24" s="1338"/>
      <c r="E24" s="1338"/>
      <c r="F24" s="1338"/>
      <c r="G24" s="487"/>
      <c r="H24" s="487"/>
      <c r="I24" s="487"/>
      <c r="J24" s="487"/>
      <c r="K24" s="487"/>
      <c r="L24" s="489"/>
      <c r="M24" s="487"/>
      <c r="P24" s="487"/>
      <c r="Q24" s="487"/>
      <c r="R24" s="487"/>
      <c r="S24" s="487"/>
      <c r="T24" s="487"/>
      <c r="U24" s="487"/>
      <c r="V24" s="487"/>
      <c r="W24" s="487"/>
      <c r="X24" s="487"/>
      <c r="Y24" s="487"/>
      <c r="Z24" s="487"/>
      <c r="AA24" s="487"/>
      <c r="AB24" s="487"/>
      <c r="AC24" s="487"/>
    </row>
    <row r="25" spans="1:44" s="488" customFormat="1" ht="12" customHeight="1" x14ac:dyDescent="0.2">
      <c r="A25" s="489"/>
      <c r="B25" s="489"/>
      <c r="C25" s="789"/>
      <c r="D25" s="789"/>
      <c r="E25" s="789"/>
      <c r="F25" s="789"/>
      <c r="G25" s="789"/>
      <c r="H25" s="489"/>
      <c r="I25" s="489"/>
      <c r="J25" s="489"/>
      <c r="K25" s="489"/>
      <c r="L25" s="489"/>
      <c r="M25" s="489"/>
      <c r="N25" s="489"/>
      <c r="O25" s="489"/>
      <c r="P25" s="489"/>
      <c r="Q25" s="489"/>
      <c r="R25" s="489"/>
      <c r="S25" s="489"/>
      <c r="T25" s="489"/>
      <c r="U25" s="489"/>
      <c r="V25" s="489"/>
      <c r="W25" s="489"/>
      <c r="X25" s="489"/>
      <c r="Y25" s="489"/>
      <c r="Z25" s="489"/>
      <c r="AA25" s="489"/>
      <c r="AB25" s="489"/>
      <c r="AC25" s="489"/>
    </row>
    <row r="26" spans="1:44" s="488" customFormat="1" ht="12" customHeight="1" x14ac:dyDescent="0.2">
      <c r="A26" s="489"/>
      <c r="B26" s="489"/>
      <c r="C26" s="789"/>
      <c r="D26" s="789"/>
      <c r="E26" s="789"/>
      <c r="F26" s="789"/>
      <c r="G26" s="789"/>
      <c r="H26" s="489"/>
      <c r="I26" s="489"/>
      <c r="J26" s="489"/>
      <c r="K26" s="489"/>
      <c r="L26" s="489"/>
      <c r="M26" s="489"/>
      <c r="N26" s="489"/>
      <c r="O26" s="489"/>
      <c r="P26" s="489"/>
      <c r="Q26" s="489"/>
      <c r="R26" s="489"/>
      <c r="S26" s="489"/>
      <c r="T26" s="489"/>
      <c r="U26" s="489"/>
      <c r="V26" s="489"/>
      <c r="W26" s="489"/>
      <c r="X26" s="489"/>
      <c r="Y26" s="489"/>
      <c r="Z26" s="489"/>
      <c r="AA26" s="489"/>
      <c r="AB26" s="489"/>
      <c r="AC26" s="489"/>
    </row>
    <row r="27" spans="1:44" s="488" customFormat="1" ht="12" customHeight="1" x14ac:dyDescent="0.2">
      <c r="A27" s="489"/>
      <c r="B27" s="489"/>
      <c r="C27" s="789"/>
      <c r="D27" s="789"/>
      <c r="E27" s="789"/>
      <c r="F27" s="789"/>
      <c r="G27" s="789"/>
      <c r="H27" s="489"/>
      <c r="I27" s="489"/>
      <c r="J27" s="489"/>
      <c r="K27" s="489"/>
      <c r="L27" s="489"/>
      <c r="M27" s="489"/>
      <c r="N27" s="489"/>
      <c r="O27" s="489"/>
      <c r="P27" s="489"/>
      <c r="Q27" s="489"/>
      <c r="R27" s="489"/>
      <c r="S27" s="489"/>
      <c r="T27" s="489"/>
      <c r="U27" s="489"/>
      <c r="V27" s="489"/>
      <c r="W27" s="489"/>
      <c r="X27" s="489"/>
      <c r="Y27" s="489"/>
      <c r="Z27" s="489"/>
      <c r="AA27" s="489"/>
      <c r="AB27" s="489"/>
      <c r="AC27" s="489"/>
    </row>
    <row r="28" spans="1:44" s="488" customFormat="1" ht="12" customHeight="1" x14ac:dyDescent="0.2">
      <c r="A28" s="489"/>
      <c r="B28" s="489"/>
      <c r="C28" s="789"/>
      <c r="D28" s="789"/>
      <c r="E28" s="789"/>
      <c r="F28" s="789"/>
      <c r="G28" s="789"/>
      <c r="H28" s="489"/>
      <c r="I28" s="489"/>
      <c r="J28" s="489"/>
      <c r="K28" s="489"/>
      <c r="L28" s="489"/>
      <c r="M28" s="489"/>
      <c r="N28" s="489"/>
      <c r="O28" s="489"/>
      <c r="P28" s="489"/>
      <c r="Q28" s="489"/>
      <c r="R28" s="489"/>
      <c r="S28" s="489"/>
      <c r="T28" s="489"/>
      <c r="U28" s="489"/>
      <c r="V28" s="489"/>
      <c r="W28" s="489"/>
      <c r="X28" s="489"/>
      <c r="Y28" s="489"/>
      <c r="Z28" s="489"/>
      <c r="AA28" s="489"/>
      <c r="AB28" s="489"/>
      <c r="AC28" s="489"/>
    </row>
    <row r="29" spans="1:44" s="488" customFormat="1" ht="12" customHeight="1" x14ac:dyDescent="0.2">
      <c r="A29" s="489"/>
      <c r="B29" s="489"/>
      <c r="C29" s="789"/>
      <c r="D29" s="789"/>
      <c r="E29" s="789"/>
      <c r="F29" s="789"/>
      <c r="G29" s="789"/>
      <c r="H29" s="489"/>
      <c r="I29" s="489"/>
      <c r="J29" s="489"/>
      <c r="K29" s="489"/>
      <c r="L29" s="489"/>
      <c r="M29" s="489"/>
      <c r="N29" s="489"/>
      <c r="O29" s="489"/>
      <c r="P29" s="489"/>
      <c r="Q29" s="489"/>
      <c r="R29" s="489"/>
      <c r="S29" s="489"/>
      <c r="T29" s="489"/>
      <c r="U29" s="489"/>
      <c r="V29" s="489"/>
      <c r="W29" s="489"/>
      <c r="X29" s="489"/>
      <c r="Y29" s="489"/>
      <c r="Z29" s="489"/>
      <c r="AA29" s="489"/>
      <c r="AB29" s="489"/>
      <c r="AC29" s="489"/>
    </row>
    <row r="30" spans="1:44" s="488" customFormat="1" x14ac:dyDescent="0.2">
      <c r="A30" s="489"/>
      <c r="B30" s="489"/>
      <c r="C30" s="489"/>
      <c r="D30" s="489"/>
      <c r="E30" s="507"/>
      <c r="F30" s="489"/>
      <c r="G30" s="489"/>
      <c r="H30" s="489"/>
      <c r="I30" s="489"/>
      <c r="J30" s="489"/>
      <c r="K30" s="489"/>
      <c r="L30" s="489"/>
      <c r="M30" s="489"/>
      <c r="N30" s="489"/>
      <c r="O30" s="489"/>
      <c r="P30" s="489"/>
      <c r="Q30" s="489"/>
      <c r="R30" s="489"/>
      <c r="S30" s="489"/>
      <c r="T30" s="489"/>
      <c r="U30" s="489"/>
      <c r="V30" s="489"/>
      <c r="W30" s="489"/>
      <c r="X30" s="489"/>
      <c r="Y30" s="489"/>
      <c r="Z30" s="489"/>
      <c r="AA30" s="489"/>
      <c r="AB30" s="489"/>
      <c r="AC30" s="489"/>
    </row>
    <row r="31" spans="1:44" s="488" customFormat="1" x14ac:dyDescent="0.2">
      <c r="A31" s="489"/>
      <c r="B31" s="489"/>
      <c r="C31" s="489"/>
      <c r="D31" s="489"/>
      <c r="E31" s="507"/>
      <c r="F31" s="489"/>
      <c r="G31" s="489"/>
      <c r="H31" s="489"/>
      <c r="I31" s="489"/>
      <c r="J31" s="489"/>
      <c r="K31" s="489"/>
      <c r="L31" s="489"/>
      <c r="M31" s="489"/>
      <c r="N31" s="489"/>
      <c r="O31" s="489"/>
      <c r="P31" s="489"/>
      <c r="Q31" s="489"/>
      <c r="R31" s="489"/>
      <c r="S31" s="489"/>
      <c r="T31" s="489"/>
      <c r="U31" s="489"/>
      <c r="V31" s="489"/>
      <c r="W31" s="489"/>
      <c r="X31" s="489"/>
      <c r="Y31" s="489"/>
      <c r="Z31" s="489"/>
      <c r="AA31" s="489"/>
      <c r="AB31" s="489"/>
      <c r="AC31" s="489"/>
    </row>
    <row r="32" spans="1:44" s="488" customFormat="1" x14ac:dyDescent="0.2">
      <c r="A32" s="489"/>
      <c r="B32" s="489"/>
      <c r="C32" s="489"/>
      <c r="D32" s="489"/>
      <c r="E32" s="507"/>
      <c r="F32" s="489"/>
      <c r="G32" s="489"/>
      <c r="H32" s="489"/>
      <c r="I32" s="489"/>
      <c r="J32" s="489"/>
      <c r="K32" s="489"/>
      <c r="L32" s="489"/>
      <c r="M32" s="489"/>
      <c r="N32" s="489"/>
      <c r="O32" s="489"/>
      <c r="P32" s="489"/>
      <c r="Q32" s="489"/>
      <c r="R32" s="489"/>
      <c r="S32" s="489"/>
      <c r="T32" s="489"/>
      <c r="U32" s="489"/>
      <c r="V32" s="489"/>
      <c r="W32" s="489"/>
      <c r="X32" s="489"/>
      <c r="Y32" s="489"/>
      <c r="Z32" s="489"/>
      <c r="AA32" s="489"/>
      <c r="AB32" s="489"/>
      <c r="AC32" s="489"/>
    </row>
    <row r="33" spans="1:44" s="488" customFormat="1" x14ac:dyDescent="0.2">
      <c r="A33" s="489"/>
      <c r="B33" s="489"/>
      <c r="C33" s="489"/>
      <c r="D33" s="489"/>
      <c r="E33" s="507"/>
      <c r="F33" s="489"/>
      <c r="G33" s="489"/>
      <c r="H33" s="489"/>
      <c r="I33" s="489"/>
      <c r="J33" s="489"/>
      <c r="K33" s="489"/>
      <c r="L33" s="489"/>
      <c r="M33" s="489"/>
      <c r="N33" s="489"/>
      <c r="O33" s="489"/>
      <c r="P33" s="489"/>
      <c r="Q33" s="489"/>
      <c r="R33" s="489"/>
      <c r="S33" s="489"/>
      <c r="T33" s="489"/>
      <c r="U33" s="489"/>
      <c r="V33" s="489"/>
      <c r="W33" s="489"/>
      <c r="X33" s="489"/>
      <c r="Y33" s="489"/>
      <c r="Z33" s="489"/>
      <c r="AA33" s="489"/>
      <c r="AB33" s="489"/>
      <c r="AC33" s="489"/>
    </row>
    <row r="34" spans="1:44" s="488" customFormat="1" x14ac:dyDescent="0.2">
      <c r="A34" s="489"/>
      <c r="B34" s="489"/>
      <c r="C34" s="489"/>
      <c r="D34" s="489"/>
      <c r="E34" s="507"/>
      <c r="F34" s="489"/>
      <c r="G34" s="489"/>
      <c r="H34" s="489"/>
      <c r="I34" s="489"/>
      <c r="J34" s="489"/>
      <c r="K34" s="489"/>
      <c r="L34" s="489"/>
      <c r="M34" s="489"/>
      <c r="N34" s="489"/>
      <c r="O34" s="489"/>
      <c r="P34" s="489"/>
      <c r="Q34" s="489"/>
      <c r="R34" s="489"/>
      <c r="S34" s="489"/>
      <c r="T34" s="489"/>
      <c r="U34" s="489"/>
      <c r="V34" s="489"/>
      <c r="W34" s="489"/>
      <c r="X34" s="489"/>
      <c r="Y34" s="489"/>
      <c r="Z34" s="489"/>
      <c r="AA34" s="489"/>
      <c r="AB34" s="489"/>
      <c r="AC34" s="489"/>
    </row>
    <row r="35" spans="1:44" s="488" customFormat="1" x14ac:dyDescent="0.2">
      <c r="B35" s="489"/>
      <c r="C35" s="489"/>
      <c r="D35" s="489"/>
      <c r="E35" s="507"/>
      <c r="F35" s="489"/>
      <c r="G35" s="489"/>
      <c r="H35" s="489"/>
      <c r="I35" s="489"/>
      <c r="J35" s="489"/>
      <c r="K35" s="489"/>
      <c r="L35" s="489"/>
      <c r="M35" s="489"/>
      <c r="N35" s="489"/>
      <c r="O35" s="489"/>
      <c r="P35" s="489"/>
      <c r="Q35" s="489"/>
      <c r="R35" s="489"/>
      <c r="S35" s="489"/>
      <c r="T35" s="489"/>
      <c r="U35" s="489"/>
      <c r="V35" s="489"/>
      <c r="W35" s="489"/>
      <c r="X35" s="489"/>
      <c r="Y35" s="489"/>
      <c r="Z35" s="489"/>
      <c r="AA35" s="489"/>
      <c r="AB35" s="489"/>
      <c r="AC35" s="489"/>
    </row>
    <row r="36" spans="1:44" s="488" customFormat="1" x14ac:dyDescent="0.2">
      <c r="B36" s="489"/>
      <c r="C36" s="489"/>
      <c r="D36" s="489"/>
      <c r="E36" s="507"/>
      <c r="F36" s="489"/>
      <c r="G36" s="489"/>
      <c r="H36" s="489"/>
      <c r="I36" s="489"/>
      <c r="J36" s="489"/>
      <c r="K36" s="489"/>
      <c r="L36" s="489"/>
      <c r="M36" s="489"/>
      <c r="N36" s="489"/>
      <c r="O36" s="489"/>
      <c r="P36" s="489"/>
      <c r="Q36" s="489"/>
      <c r="R36" s="489"/>
      <c r="S36" s="489"/>
      <c r="T36" s="489"/>
      <c r="U36" s="489"/>
      <c r="V36" s="489"/>
      <c r="W36" s="489"/>
      <c r="X36" s="489"/>
      <c r="Y36" s="489"/>
      <c r="Z36" s="489"/>
      <c r="AA36" s="489"/>
      <c r="AB36" s="489"/>
      <c r="AC36" s="489"/>
    </row>
    <row r="37" spans="1:44" s="488" customFormat="1" x14ac:dyDescent="0.2">
      <c r="B37" s="489"/>
      <c r="C37" s="489"/>
      <c r="D37" s="489"/>
      <c r="E37" s="507"/>
      <c r="F37" s="489"/>
      <c r="G37" s="489"/>
      <c r="H37" s="489"/>
      <c r="I37" s="489"/>
      <c r="J37" s="489"/>
      <c r="K37" s="489"/>
      <c r="L37" s="489"/>
      <c r="M37" s="489"/>
      <c r="N37" s="489"/>
      <c r="O37" s="489"/>
      <c r="P37" s="489"/>
      <c r="Q37" s="489"/>
      <c r="R37" s="489"/>
      <c r="S37" s="489"/>
      <c r="T37" s="489"/>
      <c r="U37" s="489"/>
      <c r="V37" s="489"/>
      <c r="W37" s="489"/>
      <c r="X37" s="489"/>
      <c r="Y37" s="489"/>
      <c r="Z37" s="489"/>
      <c r="AA37" s="489"/>
      <c r="AB37" s="489"/>
      <c r="AC37" s="489"/>
    </row>
    <row r="38" spans="1:44" s="488" customFormat="1" x14ac:dyDescent="0.2">
      <c r="B38" s="489"/>
      <c r="C38" s="489"/>
      <c r="D38" s="489"/>
      <c r="E38" s="507"/>
      <c r="F38" s="489"/>
      <c r="G38" s="489"/>
      <c r="H38" s="489"/>
      <c r="I38" s="489"/>
      <c r="J38" s="489"/>
      <c r="K38" s="489"/>
      <c r="L38" s="489"/>
      <c r="M38" s="489"/>
      <c r="N38" s="489"/>
      <c r="O38" s="489"/>
      <c r="P38" s="489"/>
      <c r="Q38" s="489"/>
      <c r="R38" s="489"/>
      <c r="S38" s="489"/>
      <c r="T38" s="489"/>
      <c r="U38" s="489"/>
      <c r="V38" s="489"/>
      <c r="W38" s="489"/>
      <c r="X38" s="489"/>
      <c r="Y38" s="489"/>
      <c r="Z38" s="489"/>
      <c r="AA38" s="489"/>
      <c r="AB38" s="489"/>
      <c r="AC38" s="489"/>
    </row>
    <row r="39" spans="1:44" s="488" customFormat="1" x14ac:dyDescent="0.2">
      <c r="B39" s="489"/>
      <c r="C39" s="489"/>
      <c r="D39" s="489"/>
      <c r="E39" s="507"/>
      <c r="F39" s="489"/>
      <c r="G39" s="489"/>
      <c r="H39" s="489"/>
      <c r="I39" s="489"/>
      <c r="J39" s="489"/>
      <c r="K39" s="489"/>
      <c r="L39" s="489"/>
      <c r="M39" s="489"/>
      <c r="N39" s="489"/>
      <c r="O39" s="489"/>
      <c r="P39" s="489"/>
      <c r="Q39" s="489"/>
      <c r="R39" s="489"/>
      <c r="S39" s="489"/>
      <c r="T39" s="489"/>
      <c r="U39" s="489"/>
      <c r="V39" s="489"/>
      <c r="W39" s="489"/>
      <c r="X39" s="489"/>
      <c r="Y39" s="489"/>
      <c r="Z39" s="489"/>
      <c r="AA39" s="489"/>
      <c r="AB39" s="489"/>
      <c r="AC39" s="489"/>
    </row>
    <row r="40" spans="1:44" x14ac:dyDescent="0.2">
      <c r="B40" s="267"/>
      <c r="C40" s="267"/>
      <c r="D40" s="267"/>
      <c r="F40" s="267"/>
      <c r="G40" s="267"/>
      <c r="H40" s="267"/>
      <c r="I40" s="267"/>
      <c r="J40" s="267"/>
      <c r="K40" s="267"/>
      <c r="L40" s="267"/>
      <c r="M40" s="267"/>
      <c r="N40" s="267"/>
      <c r="O40" s="267"/>
      <c r="P40" s="267"/>
      <c r="Q40" s="267"/>
      <c r="R40" s="267"/>
      <c r="S40" s="267"/>
      <c r="T40" s="267"/>
      <c r="U40" s="267"/>
      <c r="V40" s="267"/>
      <c r="W40" s="267"/>
      <c r="X40" s="267"/>
      <c r="Y40" s="267"/>
      <c r="Z40" s="267"/>
      <c r="AA40" s="267"/>
      <c r="AB40" s="267"/>
      <c r="AC40" s="267"/>
      <c r="AQ40" s="488"/>
      <c r="AR40" s="488"/>
    </row>
    <row r="41" spans="1:44" x14ac:dyDescent="0.2">
      <c r="B41" s="267"/>
      <c r="C41" s="267"/>
      <c r="D41" s="267"/>
      <c r="F41" s="267"/>
      <c r="G41" s="267"/>
      <c r="H41" s="267"/>
      <c r="I41" s="267"/>
      <c r="J41" s="267"/>
      <c r="K41" s="267"/>
      <c r="L41" s="267"/>
      <c r="M41" s="267"/>
      <c r="N41" s="267"/>
      <c r="O41" s="267"/>
      <c r="P41" s="267"/>
      <c r="Q41" s="267"/>
      <c r="R41" s="267"/>
      <c r="S41" s="267"/>
      <c r="T41" s="267"/>
      <c r="U41" s="267"/>
      <c r="V41" s="267"/>
      <c r="W41" s="267"/>
      <c r="X41" s="267"/>
      <c r="Y41" s="267"/>
      <c r="Z41" s="267"/>
      <c r="AA41" s="267"/>
      <c r="AB41" s="267"/>
      <c r="AC41" s="267"/>
    </row>
    <row r="42" spans="1:44" x14ac:dyDescent="0.2">
      <c r="B42" s="267"/>
      <c r="C42" s="267"/>
      <c r="D42" s="267"/>
      <c r="F42" s="267"/>
      <c r="G42" s="267"/>
      <c r="H42" s="267"/>
      <c r="I42" s="267"/>
      <c r="J42" s="267"/>
      <c r="K42" s="267"/>
      <c r="L42" s="267"/>
      <c r="M42" s="267"/>
      <c r="N42" s="267"/>
      <c r="O42" s="267"/>
      <c r="P42" s="267"/>
      <c r="Q42" s="267"/>
      <c r="R42" s="267"/>
      <c r="S42" s="267"/>
      <c r="T42" s="267"/>
      <c r="U42" s="267"/>
      <c r="V42" s="267"/>
      <c r="W42" s="267"/>
      <c r="X42" s="267"/>
      <c r="Y42" s="267"/>
      <c r="Z42" s="267"/>
      <c r="AA42" s="267"/>
      <c r="AB42" s="267"/>
      <c r="AC42" s="267"/>
    </row>
  </sheetData>
  <sheetProtection algorithmName="SHA-512" hashValue="uUj1ACAS34nqNcoQahtbb0K62IUdwPCs8mBsGZVTexeMyL8qeYqALWFC7jO4DswX5lLRfR9FAnGrdv0+S522oA==" saltValue="nc4v5M2l605+BtT/FnIJsQ==" spinCount="100000" sheet="1" objects="1" scenarios="1"/>
  <mergeCells count="6">
    <mergeCell ref="R3:AC4"/>
    <mergeCell ref="B24:F24"/>
    <mergeCell ref="B5:F5"/>
    <mergeCell ref="H5:P5"/>
    <mergeCell ref="R5:AC5"/>
    <mergeCell ref="B23:F23"/>
  </mergeCells>
  <conditionalFormatting sqref="R3:AC4">
    <cfRule type="notContainsBlanks" dxfId="29" priority="1">
      <formula>LEN(TRIM(R3))&gt;0</formula>
    </cfRule>
  </conditionalFormatting>
  <dataValidations count="19">
    <dataValidation allowBlank="1" showInputMessage="1" showErrorMessage="1" promptTitle="Total Fringe" prompt="On Base Salary amounts - not adjusted for fringe on unpaid leave." sqref="AC9"/>
    <dataValidation allowBlank="1" showInputMessage="1" showErrorMessage="1" promptTitle="Total Salary Budget" prompt="Total Salary including Merit, plus Stipend, prorated for FTE and Pay Periods on this account_x000a__x000a_The Unpaid Leave deduction is not budgeted as it is deducted each pay period through payroll_x000a_" sqref="AA9 N9"/>
    <dataValidation allowBlank="1" showInputMessage="1" showErrorMessage="1" promptTitle="Monthly Salary" prompt="(Base salary + Merit + COLA)/12" sqref="Z9"/>
    <dataValidation allowBlank="1" showInputMessage="1" showErrorMessage="1" promptTitle="Merit" prompt="Merit awards range from $1,000 to $4,500 per employee.  _x000a_Enter FULL merit award recommended by Dean/Director_x000a__x000a_Formula will adjust for partial FTE" sqref="X9"/>
    <dataValidation allowBlank="1" showInputMessage="1" showErrorMessage="1" promptTitle="Base Salary" prompt="Exising employee (including employees transfering from other accounts): enter current Annualized base Salary.  _x000a__x000a_New employees: enter projected Annualized base Salary ." sqref="V9"/>
    <dataValidation allowBlank="1" showInputMessage="1" showErrorMessage="1" promptTitle="New Hire:" prompt="If this will be a new hire in the next fiscal year enter 'Y' in this field.  For existing employees, including employees transferring from other accounts, leave blank." sqref="R9"/>
    <dataValidation allowBlank="1" showInputMessage="1" showErrorMessage="1" promptTitle="COLA" prompt="Governor's Recommended %" sqref="Y9"/>
    <dataValidation allowBlank="1" showInputMessage="1" showErrorMessage="1" promptTitle="Stipend" prompt="Annual Stipend amount per employment document._x000a__x000a_For part-time positions, adjust the Stipend to it's full time equivalent amount._x000a__x000a_E.G. Employee works 20 hrs/wk, annual Stipend $3,000:_x000a_Enter Base Stipend of $6,000." sqref="W9 L9"/>
    <dataValidation allowBlank="1" showInputMessage="1" showErrorMessage="1" promptTitle="FTE" prompt="Enter portion of 1.0 Full Time Equivalent that employee will be paid from this account.  _x000a__x000a_For less than 1.0 FTE, note if the position is part time or enter the account number(s) where the remaining FTE will be paid from in the Personnel Tracking column." sqref="H9 S9:T9"/>
    <dataValidation allowBlank="1" showInputMessage="1" showErrorMessage="1" promptTitle="Pay Per" prompt="Number of Pay periods that the position is projected to be filled next fiscal year." sqref="U9"/>
    <dataValidation allowBlank="1" showInputMessage="1" showErrorMessage="1" promptTitle="Position Title" prompt="List OFFICIAL POSITION TITLE per PDQ/Workday" sqref="C9"/>
    <dataValidation allowBlank="1" showInputMessage="1" showErrorMessage="1" promptTitle="Employee Names" prompt="One line per Position Number.  List ALL EMPLOYEES in the position this FY and enter the total combined Pay Periods to calculate the Projected Actual total position expense for this FY._x000a__x000a_Use the highest Base Salary and prorate the pay periods if necessary" sqref="D9"/>
    <dataValidation allowBlank="1" showInputMessage="1" showErrorMessage="1" promptTitle="Position Number:" prompt="List only NEW Positions." sqref="B9"/>
    <dataValidation allowBlank="1" showInputMessage="1" showErrorMessage="1" promptTitle="EPC" prompt="If employee is on the Employer-Paid Retirement Contribution (EPC) option, enter &quot;Y&quot; in this cell. Salary will be reduced by the EPC factor and Retirement benefits will be calculated at the higher EPC rate.  _x000a__x000a_For non-EPC employees, leave this cell blank." sqref="F9"/>
    <dataValidation allowBlank="1" showInputMessage="1" showErrorMessage="1" promptTitle="FTE" prompt="Enter portion of 1.0 Full Time Equivalent that employee is paid from this account.  " sqref="I9"/>
    <dataValidation allowBlank="1" showInputMessage="1" showErrorMessage="1" promptTitle="Pay Periods" prompt="Number of months that position is projected to be filled during the current fiscal year." sqref="J9"/>
    <dataValidation allowBlank="1" showInputMessage="1" showErrorMessage="1" promptTitle="Base Salary" prompt="Annual contract amount per employment document._x000a__x000a_For part-time positions, adjust the salary to it's full time equivalent amount._x000a__x000a_E.G. Employee works 20 hrs/wk, annual salary $25,000:_x000a_Enter Base Salary of $50,000." sqref="K9"/>
    <dataValidation type="list" allowBlank="1" showInputMessage="1" showErrorMessage="1" sqref="F10:F19">
      <formula1>$AO$2:$AO$3</formula1>
    </dataValidation>
    <dataValidation type="list" allowBlank="1" showInputMessage="1" showErrorMessage="1" sqref="X10:X19">
      <formula1>$AQ$1:$AQ$8</formula1>
    </dataValidation>
  </dataValidations>
  <printOptions horizontalCentered="1"/>
  <pageMargins left="0" right="0" top="0.4" bottom="0.25" header="0.5" footer="0.5"/>
  <pageSetup scale="61" fitToHeight="4"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14:formula1>
            <xm:f>'SUMMARY FORM'!$AH$2:$AH$4</xm:f>
          </x14:formula1>
          <xm:sqref>R10:R19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tint="0.39997558519241921"/>
    <pageSetUpPr fitToPage="1"/>
  </sheetPr>
  <dimension ref="A1:BG125"/>
  <sheetViews>
    <sheetView zoomScaleNormal="100" workbookViewId="0">
      <pane xSplit="10" ySplit="9" topLeftCell="U10" activePane="bottomRight" state="frozen"/>
      <selection activeCell="N6" sqref="N6"/>
      <selection pane="topRight" activeCell="N6" sqref="N6"/>
      <selection pane="bottomLeft" activeCell="N6" sqref="N6"/>
      <selection pane="bottomRight" activeCell="AF17" sqref="AF17"/>
    </sheetView>
  </sheetViews>
  <sheetFormatPr defaultColWidth="5.85546875" defaultRowHeight="12" x14ac:dyDescent="0.2"/>
  <cols>
    <col min="1" max="1" width="4" style="69" bestFit="1" customWidth="1"/>
    <col min="2" max="2" width="9.140625" style="69" customWidth="1"/>
    <col min="3" max="3" width="40.7109375" style="69" customWidth="1"/>
    <col min="4" max="4" width="35" style="69" customWidth="1"/>
    <col min="5" max="5" width="7.85546875" style="69" bestFit="1" customWidth="1"/>
    <col min="6" max="6" width="10" style="69" customWidth="1"/>
    <col min="7" max="7" width="10.85546875" style="69" hidden="1" customWidth="1"/>
    <col min="8" max="8" width="7.140625" style="69" customWidth="1"/>
    <col min="9" max="9" width="7.7109375" style="69" customWidth="1"/>
    <col min="10" max="10" width="2.140625" style="69" customWidth="1"/>
    <col min="11" max="11" width="8.140625" style="69" hidden="1" customWidth="1"/>
    <col min="12" max="12" width="8.5703125" style="69" customWidth="1"/>
    <col min="13" max="13" width="8.140625" style="69" customWidth="1"/>
    <col min="14" max="14" width="12.140625" style="69" customWidth="1"/>
    <col min="15" max="15" width="9.85546875" style="69" customWidth="1"/>
    <col min="16" max="16" width="9.85546875" style="69" hidden="1" customWidth="1"/>
    <col min="17" max="17" width="8.140625" style="69" hidden="1" customWidth="1"/>
    <col min="18" max="18" width="8.85546875" style="69" customWidth="1"/>
    <col min="19" max="19" width="7.140625" style="69" hidden="1" customWidth="1"/>
    <col min="20" max="20" width="10.7109375" style="69" customWidth="1"/>
    <col min="21" max="21" width="1" style="69" customWidth="1"/>
    <col min="22" max="22" width="5.85546875" style="69" customWidth="1"/>
    <col min="23" max="23" width="8.140625" style="69" hidden="1" customWidth="1"/>
    <col min="24" max="24" width="7.42578125" style="69" customWidth="1"/>
    <col min="25" max="25" width="8.5703125" style="69" customWidth="1"/>
    <col min="26" max="26" width="8.42578125" style="69" bestFit="1" customWidth="1"/>
    <col min="27" max="27" width="10.5703125" style="69" customWidth="1"/>
    <col min="28" max="28" width="9.5703125" style="69" customWidth="1"/>
    <col min="29" max="29" width="7.85546875" style="69" hidden="1" customWidth="1"/>
    <col min="30" max="30" width="11" style="69" bestFit="1" customWidth="1"/>
    <col min="31" max="31" width="9.140625" style="69" customWidth="1"/>
    <col min="32" max="32" width="9.28515625" style="69" bestFit="1" customWidth="1"/>
    <col min="33" max="33" width="8.42578125" style="69" hidden="1" customWidth="1"/>
    <col min="34" max="34" width="11" style="69" hidden="1" customWidth="1"/>
    <col min="35" max="35" width="8.140625" style="69" hidden="1" customWidth="1"/>
    <col min="36" max="36" width="11.28515625" style="69" hidden="1" customWidth="1"/>
    <col min="37" max="37" width="11.28515625" style="69" customWidth="1"/>
    <col min="38" max="38" width="11.5703125" style="69" hidden="1" customWidth="1"/>
    <col min="39" max="39" width="12.5703125" style="69" customWidth="1"/>
    <col min="40" max="40" width="4" style="69" bestFit="1" customWidth="1"/>
    <col min="41" max="41" width="7.42578125" style="69" bestFit="1" customWidth="1"/>
    <col min="42" max="42" width="25.7109375" style="69" customWidth="1"/>
    <col min="43" max="43" width="9.42578125" style="69" bestFit="1" customWidth="1"/>
    <col min="44" max="44" width="28.140625" style="69" customWidth="1"/>
    <col min="45" max="45" width="7.42578125" style="69" hidden="1" customWidth="1"/>
    <col min="46" max="46" width="27.42578125" style="69" customWidth="1"/>
    <col min="47" max="47" width="14.5703125" style="69" hidden="1" customWidth="1"/>
    <col min="48" max="48" width="13.85546875" style="69" hidden="1" customWidth="1"/>
    <col min="49" max="49" width="16.5703125" style="69" hidden="1" customWidth="1"/>
    <col min="50" max="54" width="5.85546875" style="69"/>
    <col min="55" max="55" width="1.42578125" style="69" customWidth="1"/>
    <col min="56" max="56" width="18.7109375" style="69" hidden="1" customWidth="1"/>
    <col min="57" max="57" width="5.85546875" style="69" hidden="1" customWidth="1"/>
    <col min="58" max="58" width="9.140625" style="69" hidden="1" customWidth="1"/>
    <col min="59" max="59" width="5.85546875" style="69" collapsed="1"/>
    <col min="60" max="16384" width="5.85546875" style="69"/>
  </cols>
  <sheetData>
    <row r="1" spans="1:58" s="68" customFormat="1" ht="13.5" thickBot="1" x14ac:dyDescent="0.25">
      <c r="A1" s="107"/>
      <c r="B1" s="94" t="str">
        <f>'SUMMARY FORM'!A2</f>
        <v>FY21 SELF-SUPPORTING BUDGET REQUEST</v>
      </c>
      <c r="C1" s="109"/>
      <c r="D1" s="94"/>
      <c r="E1" s="108"/>
      <c r="F1" s="108"/>
      <c r="G1" s="108"/>
      <c r="H1" s="109"/>
      <c r="I1" s="109"/>
      <c r="J1" s="109"/>
      <c r="K1" s="109"/>
      <c r="L1" s="109"/>
      <c r="M1" s="109"/>
      <c r="N1" s="109"/>
      <c r="O1" s="109"/>
      <c r="P1" s="109"/>
      <c r="Q1" s="109"/>
      <c r="R1" s="109"/>
      <c r="S1" s="109"/>
      <c r="T1" s="109"/>
      <c r="U1" s="109"/>
      <c r="V1" s="109"/>
      <c r="W1" s="109"/>
      <c r="X1" s="109"/>
      <c r="Y1" s="109"/>
      <c r="Z1" s="109"/>
      <c r="AA1" s="109"/>
      <c r="AB1" s="109"/>
      <c r="AC1" s="109"/>
      <c r="AD1" s="109"/>
      <c r="AE1" s="109"/>
      <c r="AF1" s="109"/>
      <c r="AG1" s="109"/>
      <c r="AH1" s="109"/>
      <c r="AI1" s="109"/>
      <c r="AJ1" s="109"/>
      <c r="AK1" s="109"/>
      <c r="AL1" s="110"/>
      <c r="AM1" s="422" t="s">
        <v>679</v>
      </c>
      <c r="AN1" s="107"/>
      <c r="AO1" s="107"/>
      <c r="AP1" s="107"/>
      <c r="AQ1" s="107"/>
      <c r="AR1" s="107"/>
      <c r="AS1" s="107"/>
      <c r="AT1" s="107"/>
      <c r="BC1" s="608"/>
      <c r="BD1" s="334" t="s">
        <v>645</v>
      </c>
      <c r="BE1" s="382" t="s">
        <v>908</v>
      </c>
      <c r="BF1" s="382" t="s">
        <v>646</v>
      </c>
    </row>
    <row r="2" spans="1:58" ht="12.75" customHeight="1" x14ac:dyDescent="0.2">
      <c r="A2" s="63"/>
      <c r="D2" s="63"/>
      <c r="E2" s="63"/>
      <c r="F2" s="63"/>
      <c r="G2" s="63"/>
      <c r="H2" s="63"/>
      <c r="I2" s="63"/>
      <c r="J2" s="111"/>
      <c r="K2" s="63"/>
      <c r="L2" s="63"/>
      <c r="M2" s="63"/>
      <c r="N2" s="112"/>
      <c r="O2" s="112"/>
      <c r="P2" s="141"/>
      <c r="Q2" s="112"/>
      <c r="R2" s="141"/>
      <c r="S2" s="141"/>
      <c r="T2" s="112"/>
      <c r="U2" s="112"/>
      <c r="V2" s="112"/>
      <c r="W2" s="112"/>
      <c r="X2" s="112"/>
      <c r="Y2" s="112"/>
      <c r="Z2" s="112"/>
      <c r="AA2" s="63"/>
      <c r="AB2" s="63"/>
      <c r="AC2" s="63"/>
      <c r="AD2" s="63"/>
      <c r="AE2" s="63"/>
      <c r="AF2" s="63"/>
      <c r="AG2" s="63"/>
      <c r="AH2" s="63"/>
      <c r="AI2" s="63"/>
      <c r="AJ2" s="63"/>
      <c r="AK2"/>
      <c r="AL2"/>
      <c r="AM2"/>
      <c r="AN2" s="63"/>
      <c r="AO2" s="111"/>
      <c r="AP2" s="111"/>
      <c r="AQ2" s="111"/>
      <c r="AR2" s="63"/>
      <c r="AS2" s="63"/>
      <c r="AT2" s="63"/>
      <c r="BC2" s="609"/>
      <c r="BD2" s="335" t="s">
        <v>632</v>
      </c>
      <c r="BF2" s="383"/>
    </row>
    <row r="3" spans="1:58" ht="12.75" customHeight="1" x14ac:dyDescent="0.2">
      <c r="A3" s="112"/>
      <c r="C3" s="375" t="s">
        <v>641</v>
      </c>
      <c r="D3" s="374" t="str">
        <f>'SUMMARY FORM'!AF2</f>
        <v>0  0  0  NEW</v>
      </c>
      <c r="E3"/>
      <c r="F3"/>
      <c r="G3"/>
      <c r="H3" s="63"/>
      <c r="I3" s="63"/>
      <c r="J3" s="111"/>
      <c r="K3" s="112"/>
      <c r="L3" s="112"/>
      <c r="M3" s="112"/>
      <c r="N3" s="112"/>
      <c r="O3" s="112"/>
      <c r="P3" s="448"/>
      <c r="Q3" s="112"/>
      <c r="R3" s="112"/>
      <c r="S3" s="369"/>
      <c r="T3" s="112"/>
      <c r="U3" s="112"/>
      <c r="V3" s="1350" t="str">
        <f>IF(U122=T122,"","Note: An FTE is more than two decimal places. Please adjust all FTEs to be two decimal places in length.")</f>
        <v/>
      </c>
      <c r="W3" s="1350"/>
      <c r="X3" s="1350"/>
      <c r="Y3" s="1350"/>
      <c r="Z3" s="1350"/>
      <c r="AA3" s="1350"/>
      <c r="AB3" s="1350"/>
      <c r="AC3" s="1350"/>
      <c r="AD3" s="1350"/>
      <c r="AE3" s="1350"/>
      <c r="AF3" s="1350"/>
      <c r="AG3" s="1350"/>
      <c r="AH3" s="1350"/>
      <c r="AI3" s="1350"/>
      <c r="AJ3" s="1350"/>
      <c r="AK3" s="1350"/>
      <c r="AL3" s="1350"/>
      <c r="AM3" s="1350"/>
      <c r="AN3" s="63"/>
      <c r="AO3" s="38"/>
      <c r="AP3" s="38"/>
      <c r="AQ3" s="38"/>
      <c r="AR3" s="63"/>
      <c r="AS3" s="63"/>
      <c r="AT3" s="63"/>
      <c r="BC3" s="609"/>
      <c r="BD3" s="383" t="s">
        <v>639</v>
      </c>
      <c r="BE3" s="383" t="s">
        <v>1064</v>
      </c>
      <c r="BF3" s="335" t="s">
        <v>632</v>
      </c>
    </row>
    <row r="4" spans="1:58" ht="12.75" customHeight="1" x14ac:dyDescent="0.2">
      <c r="A4" s="112"/>
      <c r="B4"/>
      <c r="C4"/>
      <c r="D4"/>
      <c r="E4"/>
      <c r="F4"/>
      <c r="G4"/>
      <c r="H4" s="63"/>
      <c r="I4" s="63"/>
      <c r="J4" s="111"/>
      <c r="K4" s="112"/>
      <c r="L4" s="112"/>
      <c r="M4" s="112"/>
      <c r="N4" s="112"/>
      <c r="O4" s="112"/>
      <c r="P4" s="337"/>
      <c r="Q4" s="112"/>
      <c r="R4" s="141"/>
      <c r="S4" s="112"/>
      <c r="T4" s="112"/>
      <c r="U4" s="112"/>
      <c r="V4" s="1351"/>
      <c r="W4" s="1351"/>
      <c r="X4" s="1351"/>
      <c r="Y4" s="1351"/>
      <c r="Z4" s="1351"/>
      <c r="AA4" s="1351"/>
      <c r="AB4" s="1351"/>
      <c r="AC4" s="1351"/>
      <c r="AD4" s="1351"/>
      <c r="AE4" s="1351"/>
      <c r="AF4" s="1351"/>
      <c r="AG4" s="1351"/>
      <c r="AH4" s="1351"/>
      <c r="AI4" s="1351"/>
      <c r="AJ4" s="1351"/>
      <c r="AK4" s="1351"/>
      <c r="AL4" s="1351"/>
      <c r="AM4" s="1351"/>
      <c r="AN4" s="63"/>
      <c r="AO4" s="63"/>
      <c r="AP4" s="63"/>
      <c r="AQ4" s="63"/>
      <c r="AR4" s="63"/>
      <c r="AS4" s="63"/>
      <c r="AT4" s="38"/>
      <c r="BC4" s="609"/>
      <c r="BD4" s="35"/>
      <c r="BE4" s="383" t="s">
        <v>1065</v>
      </c>
      <c r="BF4" s="383" t="s">
        <v>639</v>
      </c>
    </row>
    <row r="5" spans="1:58" ht="12.75" customHeight="1" x14ac:dyDescent="0.2">
      <c r="A5" s="112"/>
      <c r="B5" s="1378" t="s">
        <v>893</v>
      </c>
      <c r="C5" s="1379"/>
      <c r="D5" s="1379"/>
      <c r="E5" s="1379"/>
      <c r="F5" s="1380"/>
      <c r="G5" s="1380"/>
      <c r="H5" s="1379"/>
      <c r="I5" s="1381"/>
      <c r="J5" s="111"/>
      <c r="K5" s="1382" t="str">
        <f>'FORM E1'!H5</f>
        <v>FY20 - PROJECTED ACTUAL</v>
      </c>
      <c r="L5" s="1383"/>
      <c r="M5" s="1384"/>
      <c r="N5" s="1384"/>
      <c r="O5" s="1384"/>
      <c r="P5" s="1384"/>
      <c r="Q5" s="1384"/>
      <c r="R5" s="1384"/>
      <c r="S5" s="1385"/>
      <c r="T5" s="1386"/>
      <c r="U5" s="63"/>
      <c r="V5" s="1382" t="str">
        <f>'FORM E1'!S5</f>
        <v xml:space="preserve">FY21 BUDGET </v>
      </c>
      <c r="W5" s="1384"/>
      <c r="X5" s="1383"/>
      <c r="Y5" s="1384"/>
      <c r="Z5" s="1384"/>
      <c r="AA5" s="1384"/>
      <c r="AB5" s="1384"/>
      <c r="AC5" s="1384"/>
      <c r="AD5" s="1384"/>
      <c r="AE5" s="1384"/>
      <c r="AF5" s="1387"/>
      <c r="AG5" s="1387"/>
      <c r="AH5" s="1388"/>
      <c r="AI5" s="1384"/>
      <c r="AJ5" s="1384"/>
      <c r="AK5" s="1384"/>
      <c r="AL5" s="1388"/>
      <c r="AM5" s="1386"/>
      <c r="AN5" s="63"/>
      <c r="AO5" s="1371" t="s">
        <v>889</v>
      </c>
      <c r="AP5" s="1372"/>
      <c r="AQ5" s="1372"/>
      <c r="AR5" s="1372"/>
      <c r="AS5" s="1372"/>
      <c r="AT5" s="1372"/>
      <c r="AU5" s="1372"/>
      <c r="AV5" s="1372"/>
      <c r="AW5" s="1372"/>
      <c r="BC5" s="609"/>
      <c r="BE5" s="69" t="s">
        <v>1066</v>
      </c>
    </row>
    <row r="6" spans="1:58" ht="12.75" customHeight="1" x14ac:dyDescent="0.2">
      <c r="A6" s="112"/>
      <c r="B6" s="71" t="s">
        <v>2</v>
      </c>
      <c r="C6" s="332" t="s">
        <v>3</v>
      </c>
      <c r="D6" s="332" t="s">
        <v>4</v>
      </c>
      <c r="E6" s="332" t="s">
        <v>644</v>
      </c>
      <c r="F6" s="1106" t="s">
        <v>3901</v>
      </c>
      <c r="G6" s="332"/>
      <c r="H6" s="72" t="s">
        <v>7</v>
      </c>
      <c r="I6" s="72" t="s">
        <v>8</v>
      </c>
      <c r="J6" s="111"/>
      <c r="K6" s="42"/>
      <c r="L6" s="42" t="s">
        <v>9</v>
      </c>
      <c r="M6" s="72" t="s">
        <v>10</v>
      </c>
      <c r="N6" s="72" t="s">
        <v>11</v>
      </c>
      <c r="O6" s="324"/>
      <c r="P6" s="324"/>
      <c r="Q6" s="324"/>
      <c r="R6" s="73"/>
      <c r="S6" s="324"/>
      <c r="T6" s="74"/>
      <c r="U6" s="63"/>
      <c r="V6" s="72" t="s">
        <v>12</v>
      </c>
      <c r="W6" s="42"/>
      <c r="X6" s="42" t="s">
        <v>13</v>
      </c>
      <c r="Y6" s="72" t="s">
        <v>14</v>
      </c>
      <c r="Z6" s="332" t="s">
        <v>636</v>
      </c>
      <c r="AA6" s="75"/>
      <c r="AB6" s="75"/>
      <c r="AC6" s="74"/>
      <c r="AD6" s="601" t="s">
        <v>3902</v>
      </c>
      <c r="AE6" s="602"/>
      <c r="AF6" s="515"/>
      <c r="AG6" s="515"/>
      <c r="AH6" s="515"/>
      <c r="AI6" s="74"/>
      <c r="AJ6" s="76" t="s">
        <v>1</v>
      </c>
      <c r="AK6" s="76"/>
      <c r="AL6" s="74"/>
      <c r="AM6" s="74"/>
      <c r="AN6" s="63"/>
      <c r="AO6" s="42" t="s">
        <v>685</v>
      </c>
      <c r="AP6" s="42" t="s">
        <v>686</v>
      </c>
      <c r="AQ6" s="42" t="s">
        <v>687</v>
      </c>
      <c r="AR6" s="42" t="s">
        <v>688</v>
      </c>
      <c r="AS6" s="42" t="s">
        <v>689</v>
      </c>
      <c r="AT6" s="42" t="s">
        <v>690</v>
      </c>
      <c r="AU6" s="1321" t="s">
        <v>890</v>
      </c>
      <c r="AV6" s="1321"/>
      <c r="AW6" s="1321"/>
      <c r="BC6" s="609"/>
    </row>
    <row r="7" spans="1:58" ht="12.75" customHeight="1" x14ac:dyDescent="0.2">
      <c r="A7" s="112"/>
      <c r="B7" s="341"/>
      <c r="C7" s="342"/>
      <c r="D7" s="342"/>
      <c r="E7" s="341" t="s">
        <v>634</v>
      </c>
      <c r="F7" s="1113" t="s">
        <v>634</v>
      </c>
      <c r="G7" s="1107" t="s">
        <v>3863</v>
      </c>
      <c r="H7" s="342"/>
      <c r="I7" s="343">
        <v>0.05</v>
      </c>
      <c r="J7" s="344"/>
      <c r="K7" s="1117"/>
      <c r="L7" s="345"/>
      <c r="M7" s="346" t="s">
        <v>592</v>
      </c>
      <c r="N7" s="341" t="str">
        <f>'SUMMARY FORM'!J15</f>
        <v>FY20</v>
      </c>
      <c r="O7" s="695" t="str">
        <f>N7</f>
        <v>FY20</v>
      </c>
      <c r="P7" s="363"/>
      <c r="Q7" s="698" t="str">
        <f>O7</f>
        <v>FY20</v>
      </c>
      <c r="R7" s="697" t="str">
        <f>Q7</f>
        <v>FY20</v>
      </c>
      <c r="S7" s="363" t="s">
        <v>19</v>
      </c>
      <c r="T7" s="356" t="str">
        <f>N7</f>
        <v>FY20</v>
      </c>
      <c r="U7" s="63"/>
      <c r="V7" s="116" t="s">
        <v>350</v>
      </c>
      <c r="W7" s="1117"/>
      <c r="X7" s="345"/>
      <c r="Y7" s="280" t="s">
        <v>592</v>
      </c>
      <c r="Z7" s="338" t="s">
        <v>635</v>
      </c>
      <c r="AA7" s="371" t="str">
        <f>'SUMMARY FORM'!N15</f>
        <v>FY21</v>
      </c>
      <c r="AB7" s="371" t="str">
        <f>'SUMMARY FORM'!N15</f>
        <v>FY21</v>
      </c>
      <c r="AC7" s="77" t="str">
        <f>'SUMMARY FORM'!N15</f>
        <v>FY21</v>
      </c>
      <c r="AD7" s="1389" t="s">
        <v>849</v>
      </c>
      <c r="AE7" s="1389"/>
      <c r="AF7" s="1389"/>
      <c r="AG7" s="1389"/>
      <c r="AH7" s="117"/>
      <c r="AI7" s="117"/>
      <c r="AJ7" s="677"/>
      <c r="AK7" s="440" t="str">
        <f>AB7</f>
        <v>FY21</v>
      </c>
      <c r="AL7" s="114" t="s">
        <v>18</v>
      </c>
      <c r="AM7" s="115" t="str">
        <f>AK7</f>
        <v>FY21</v>
      </c>
      <c r="AN7" s="63"/>
      <c r="AO7" s="333" t="s">
        <v>628</v>
      </c>
      <c r="AP7" s="333" t="s">
        <v>630</v>
      </c>
      <c r="AQ7" s="333" t="s">
        <v>244</v>
      </c>
      <c r="AR7" s="118"/>
      <c r="AS7" s="333" t="s">
        <v>638</v>
      </c>
      <c r="AT7" s="118"/>
      <c r="AU7" s="1322" t="s">
        <v>891</v>
      </c>
      <c r="AV7" s="1323"/>
      <c r="AW7" s="1324"/>
      <c r="BC7" s="609"/>
    </row>
    <row r="8" spans="1:58" ht="12.75" customHeight="1" x14ac:dyDescent="0.2">
      <c r="A8" s="112"/>
      <c r="B8" s="347" t="s">
        <v>244</v>
      </c>
      <c r="C8" s="348"/>
      <c r="D8" s="348" t="s">
        <v>0</v>
      </c>
      <c r="E8" s="347" t="s">
        <v>571</v>
      </c>
      <c r="F8" s="970" t="s">
        <v>850</v>
      </c>
      <c r="G8" s="1108" t="s">
        <v>3864</v>
      </c>
      <c r="H8" s="348"/>
      <c r="I8" s="348" t="s">
        <v>627</v>
      </c>
      <c r="J8" s="344"/>
      <c r="K8" s="1118" t="s">
        <v>3866</v>
      </c>
      <c r="L8" s="349"/>
      <c r="M8" s="350" t="s">
        <v>345</v>
      </c>
      <c r="N8" s="347" t="s">
        <v>20</v>
      </c>
      <c r="O8" s="357" t="s">
        <v>626</v>
      </c>
      <c r="P8" s="364" t="s">
        <v>349</v>
      </c>
      <c r="Q8" s="364" t="s">
        <v>330</v>
      </c>
      <c r="R8" s="358" t="s">
        <v>246</v>
      </c>
      <c r="S8" s="364" t="s">
        <v>3237</v>
      </c>
      <c r="T8" s="359" t="s">
        <v>330</v>
      </c>
      <c r="U8" s="63"/>
      <c r="V8" s="121" t="s">
        <v>274</v>
      </c>
      <c r="W8" s="1118" t="s">
        <v>3866</v>
      </c>
      <c r="X8" s="349"/>
      <c r="Y8" s="41" t="s">
        <v>345</v>
      </c>
      <c r="Z8" s="47" t="s">
        <v>571</v>
      </c>
      <c r="AA8" s="357" t="s">
        <v>20</v>
      </c>
      <c r="AB8" s="357" t="s">
        <v>626</v>
      </c>
      <c r="AC8" s="589" t="s">
        <v>330</v>
      </c>
      <c r="AD8" s="603" t="s">
        <v>3865</v>
      </c>
      <c r="AE8" s="604" t="s">
        <v>852</v>
      </c>
      <c r="AF8" s="596" t="s">
        <v>859</v>
      </c>
      <c r="AG8" s="606" t="s">
        <v>852</v>
      </c>
      <c r="AH8" s="122" t="s">
        <v>349</v>
      </c>
      <c r="AI8" s="122" t="s">
        <v>366</v>
      </c>
      <c r="AJ8" s="678"/>
      <c r="AK8" s="358" t="s">
        <v>330</v>
      </c>
      <c r="AL8" s="1087" t="s">
        <v>1202</v>
      </c>
      <c r="AM8" s="120" t="s">
        <v>330</v>
      </c>
      <c r="AN8" s="63"/>
      <c r="AO8" s="123" t="s">
        <v>629</v>
      </c>
      <c r="AP8" s="123" t="s">
        <v>244</v>
      </c>
      <c r="AQ8" s="123" t="s">
        <v>637</v>
      </c>
      <c r="AR8" s="124"/>
      <c r="AS8" s="123" t="s">
        <v>244</v>
      </c>
      <c r="AT8" s="124"/>
      <c r="AU8" s="681" t="s">
        <v>244</v>
      </c>
      <c r="AV8" s="680" t="s">
        <v>244</v>
      </c>
      <c r="AW8" s="1325" t="s">
        <v>888</v>
      </c>
      <c r="BC8" s="609"/>
    </row>
    <row r="9" spans="1:58" ht="12.75" customHeight="1" x14ac:dyDescent="0.2">
      <c r="A9" s="112"/>
      <c r="B9" s="351" t="s">
        <v>15</v>
      </c>
      <c r="C9" s="352" t="s">
        <v>16</v>
      </c>
      <c r="D9" s="48" t="s">
        <v>3859</v>
      </c>
      <c r="E9" s="351" t="s">
        <v>572</v>
      </c>
      <c r="F9" s="1114" t="s">
        <v>851</v>
      </c>
      <c r="G9" s="1109">
        <v>44013</v>
      </c>
      <c r="H9" s="339" t="s">
        <v>579</v>
      </c>
      <c r="I9" s="339" t="s">
        <v>345</v>
      </c>
      <c r="J9" s="344"/>
      <c r="K9" s="1119" t="s">
        <v>243</v>
      </c>
      <c r="L9" s="339" t="s">
        <v>243</v>
      </c>
      <c r="M9" s="353" t="s">
        <v>591</v>
      </c>
      <c r="N9" s="351" t="s">
        <v>245</v>
      </c>
      <c r="O9" s="360" t="s">
        <v>345</v>
      </c>
      <c r="P9" s="365" t="s">
        <v>245</v>
      </c>
      <c r="Q9" s="365" t="s">
        <v>245</v>
      </c>
      <c r="R9" s="358" t="s">
        <v>245</v>
      </c>
      <c r="S9" s="1089">
        <f>Rates!I367</f>
        <v>0.44900000000000001</v>
      </c>
      <c r="T9" s="362" t="s">
        <v>19</v>
      </c>
      <c r="U9" s="63"/>
      <c r="V9" s="121" t="str">
        <f>'SUMMARY FORM'!N15</f>
        <v>FY21</v>
      </c>
      <c r="W9" s="1119" t="s">
        <v>243</v>
      </c>
      <c r="X9" s="339" t="s">
        <v>243</v>
      </c>
      <c r="Y9" s="41" t="s">
        <v>591</v>
      </c>
      <c r="Z9" s="455" t="s">
        <v>572</v>
      </c>
      <c r="AA9" s="357" t="s">
        <v>245</v>
      </c>
      <c r="AB9" s="357" t="s">
        <v>345</v>
      </c>
      <c r="AC9" s="589" t="s">
        <v>245</v>
      </c>
      <c r="AD9" s="590" t="s">
        <v>851</v>
      </c>
      <c r="AE9" s="591" t="s">
        <v>861</v>
      </c>
      <c r="AF9" s="596" t="s">
        <v>860</v>
      </c>
      <c r="AG9" s="607" t="s">
        <v>351</v>
      </c>
      <c r="AH9" s="89" t="s">
        <v>20</v>
      </c>
      <c r="AI9" s="89" t="s">
        <v>245</v>
      </c>
      <c r="AJ9" s="679" t="s">
        <v>247</v>
      </c>
      <c r="AK9" s="358" t="s">
        <v>245</v>
      </c>
      <c r="AL9" s="1088">
        <f>Rates!I384</f>
        <v>0.435</v>
      </c>
      <c r="AM9" s="120" t="s">
        <v>19</v>
      </c>
      <c r="AN9" s="63"/>
      <c r="AO9" s="125" t="s">
        <v>244</v>
      </c>
      <c r="AP9" s="125" t="s">
        <v>631</v>
      </c>
      <c r="AQ9" s="125" t="str">
        <f>'SUMMARY FORM'!N15</f>
        <v>FY21</v>
      </c>
      <c r="AR9" s="125" t="s">
        <v>3920</v>
      </c>
      <c r="AS9" s="125" t="str">
        <f>'SUMMARY FORM'!N15</f>
        <v>FY21</v>
      </c>
      <c r="AT9" s="125" t="s">
        <v>3921</v>
      </c>
      <c r="AU9" s="125" t="s">
        <v>896</v>
      </c>
      <c r="AV9" s="54" t="s">
        <v>887</v>
      </c>
      <c r="AW9" s="1325"/>
      <c r="BC9" s="609"/>
    </row>
    <row r="10" spans="1:58" ht="26.25" customHeight="1" x14ac:dyDescent="0.2">
      <c r="A10" s="37">
        <v>1</v>
      </c>
      <c r="B10" s="509"/>
      <c r="C10" s="510"/>
      <c r="D10" s="511"/>
      <c r="E10" s="512"/>
      <c r="F10" s="1115"/>
      <c r="G10" s="1110" t="str">
        <f>IFERROR(IF(F10&lt;$G$9,"No","Yes"),"")</f>
        <v>No</v>
      </c>
      <c r="H10" s="513"/>
      <c r="I10" s="482"/>
      <c r="J10" s="70"/>
      <c r="K10" s="1120">
        <f>ROUND(L10,2)</f>
        <v>0</v>
      </c>
      <c r="L10" s="1125"/>
      <c r="M10" s="396"/>
      <c r="N10" s="593"/>
      <c r="O10" s="354">
        <f>N10*IF(I10="Both",0.05*2,IF(I10="",0,0.05))</f>
        <v>0</v>
      </c>
      <c r="P10" s="355">
        <f>IF(H10="y",(((N10+O10)*Rates!$J$331))/24,((N10+O10)/24))</f>
        <v>0</v>
      </c>
      <c r="Q10" s="355">
        <f>P10*M10*K10</f>
        <v>0</v>
      </c>
      <c r="R10" s="101">
        <f>IF(H10="Y",Rates!$I$362*Q10,Q10)</f>
        <v>0</v>
      </c>
      <c r="S10" s="101">
        <f>R10*$S$9</f>
        <v>0</v>
      </c>
      <c r="T10" s="66">
        <f>S10</f>
        <v>0</v>
      </c>
      <c r="U10" s="63"/>
      <c r="V10" s="462"/>
      <c r="W10" s="1120">
        <f>ROUND(X10,2)</f>
        <v>0</v>
      </c>
      <c r="X10" s="1125"/>
      <c r="Y10" s="396"/>
      <c r="Z10" s="481"/>
      <c r="AA10" s="480">
        <f>IF(Z10="",0,ROUND(VLOOKUP(Z10,Compsch!$A$10:$B$509,2),2))</f>
        <v>0</v>
      </c>
      <c r="AB10" s="480">
        <f t="shared" ref="AB10:AB41" si="0">AA10*IF(I10="Both",0.05*2,IF(I10="",0,0.05))</f>
        <v>0</v>
      </c>
      <c r="AC10" s="480">
        <f>AA10+AB10</f>
        <v>0</v>
      </c>
      <c r="AD10" s="1112" t="str">
        <f t="shared" ref="AD10" si="1">IF(AND(F10="",V10&lt;&gt;"Y"),"",IF(OR(RIGHT(Z10,2)="10",V10="Y"),DATE(2021,7,1),IF(G10="No",DATE(YEAR(F10)+1,MONTH(F10),DAY(F10)),F10)))</f>
        <v/>
      </c>
      <c r="AE10" s="459">
        <f>IF(AD10="",0,ROUND((VLOOKUP(Z10,Compsch!$A$11:$I$390,9)-(VLOOKUP(Z10,Compsch!$A$11:$I$390,7)))*(VLOOKUP(AD10,MeritSch!$A$5:$B$370,2)),0))</f>
        <v>0</v>
      </c>
      <c r="AF10" s="480">
        <f t="shared" ref="AF10:AF41" si="2">AE10*IF(I10="Both",0.1,IF(I10="",0,0.05))</f>
        <v>0</v>
      </c>
      <c r="AG10" s="605">
        <f>AE10+AF10</f>
        <v>0</v>
      </c>
      <c r="AH10" s="373">
        <f>IF(H10="Y",((((AA10+AB10+AG10)*W10)*Rates!$I$379))/24,(((AA10+AB10+AG10)*W10)/24))</f>
        <v>0</v>
      </c>
      <c r="AI10" s="464">
        <f>((AC10+AG10)/24)*Y10*W10</f>
        <v>0</v>
      </c>
      <c r="AJ10" s="465"/>
      <c r="AK10" s="479">
        <f>IF(H10="Y",(AI10*Rates!$I$379+AJ10),(AI10+AJ10))</f>
        <v>0</v>
      </c>
      <c r="AL10" s="426">
        <f>AK10*$AL$9</f>
        <v>0</v>
      </c>
      <c r="AM10" s="463">
        <f t="shared" ref="AM10:AM73" si="3">SUM(AL10:AL10)</f>
        <v>0</v>
      </c>
      <c r="AN10" s="37">
        <v>1</v>
      </c>
      <c r="AO10" s="1096"/>
      <c r="AP10" s="1097"/>
      <c r="AQ10" s="387"/>
      <c r="AR10" s="1070"/>
      <c r="AS10" s="387"/>
      <c r="AT10" s="1097"/>
      <c r="AU10" s="428"/>
      <c r="AV10" s="622"/>
      <c r="AW10" s="623"/>
    </row>
    <row r="11" spans="1:58" ht="26.25" customHeight="1" x14ac:dyDescent="0.2">
      <c r="A11" s="37">
        <v>2</v>
      </c>
      <c r="B11" s="509"/>
      <c r="C11" s="510"/>
      <c r="D11" s="495"/>
      <c r="E11" s="512"/>
      <c r="F11" s="1115"/>
      <c r="G11" s="1110" t="str">
        <f>IFERROR(IF(F11&lt;$G$9,"No","Yes"),"")</f>
        <v>No</v>
      </c>
      <c r="H11" s="513"/>
      <c r="I11" s="482"/>
      <c r="J11" s="70"/>
      <c r="K11" s="1120">
        <f t="shared" ref="K11:K74" si="4">ROUND(L11,2)</f>
        <v>0</v>
      </c>
      <c r="L11" s="1125"/>
      <c r="M11" s="396"/>
      <c r="N11" s="593"/>
      <c r="O11" s="354">
        <f t="shared" ref="O11:O74" si="5">N11*IF(I11="Both",0.05*2,IF(I11="",0,0.05))</f>
        <v>0</v>
      </c>
      <c r="P11" s="355">
        <f>IF(H11="y",(((N11+O11)*Rates!$J$331))/24,((N11+O11)/24))</f>
        <v>0</v>
      </c>
      <c r="Q11" s="355">
        <f t="shared" ref="Q11:Q41" si="6">P11*M11*K11</f>
        <v>0</v>
      </c>
      <c r="R11" s="101">
        <f>IF(H11="Y",Rates!$I$362*Q11,Q11)</f>
        <v>0</v>
      </c>
      <c r="S11" s="101">
        <f t="shared" ref="S11:S74" si="7">R11*$S$9</f>
        <v>0</v>
      </c>
      <c r="T11" s="66">
        <f t="shared" ref="T11:T74" si="8">S11</f>
        <v>0</v>
      </c>
      <c r="U11" s="63"/>
      <c r="V11" s="462"/>
      <c r="W11" s="1120">
        <f t="shared" ref="W11:W74" si="9">ROUND(X11,2)</f>
        <v>0</v>
      </c>
      <c r="X11" s="1125"/>
      <c r="Y11" s="396"/>
      <c r="Z11" s="481"/>
      <c r="AA11" s="480">
        <f>IF(Z11="",0,ROUND(VLOOKUP(Z11,Compsch!$A$10:$B$509,2),2))</f>
        <v>0</v>
      </c>
      <c r="AB11" s="480">
        <f t="shared" si="0"/>
        <v>0</v>
      </c>
      <c r="AC11" s="480">
        <f t="shared" ref="AC11:AC74" si="10">AA11+AB11</f>
        <v>0</v>
      </c>
      <c r="AD11" s="1112" t="str">
        <f>IF(AND(F11="",V11&lt;&gt;"Y"),"",IF(OR(RIGHT(Z11,2)="10",V11="Y"),DATE(2021,7,1),IF(G11="No",DATE(YEAR(F11)+1,MONTH(F11),DAY(F11)),F11)))</f>
        <v/>
      </c>
      <c r="AE11" s="459">
        <f>IF(AD11="",0,ROUND((VLOOKUP(Z11,Compsch!$A$11:$I$390,9)-(VLOOKUP(Z11,Compsch!$A$11:$I$390,7)))*(VLOOKUP(AD11,MeritSch!$A$5:$B$370,2)),0))</f>
        <v>0</v>
      </c>
      <c r="AF11" s="480">
        <f t="shared" si="2"/>
        <v>0</v>
      </c>
      <c r="AG11" s="605">
        <f t="shared" ref="AG11:AG74" si="11">AE11+AF11</f>
        <v>0</v>
      </c>
      <c r="AH11" s="373">
        <f>IF(H11="Y",((((AA11+AB11+AG11)*W11)*Rates!$I$379))/24,(((AA11+AB11+AG11)*W11)/24))</f>
        <v>0</v>
      </c>
      <c r="AI11" s="464">
        <f t="shared" ref="AI11:AI74" si="12">((AC11+AG11)/24)*Y11*W11</f>
        <v>0</v>
      </c>
      <c r="AJ11" s="465"/>
      <c r="AK11" s="479">
        <f>IF(H11="Y",(AI11*Rates!$I$379+AJ11),(AI11+AJ11))</f>
        <v>0</v>
      </c>
      <c r="AL11" s="426">
        <f t="shared" ref="AL11:AL74" si="13">AK11*$AL$9</f>
        <v>0</v>
      </c>
      <c r="AM11" s="463">
        <f t="shared" si="3"/>
        <v>0</v>
      </c>
      <c r="AN11" s="37">
        <v>2</v>
      </c>
      <c r="AO11" s="1096"/>
      <c r="AP11" s="1097"/>
      <c r="AQ11" s="387"/>
      <c r="AR11" s="1070"/>
      <c r="AS11" s="387"/>
      <c r="AT11" s="1097"/>
      <c r="AU11" s="428"/>
      <c r="AV11" s="622"/>
      <c r="AW11" s="623"/>
    </row>
    <row r="12" spans="1:58" ht="26.25" customHeight="1" x14ac:dyDescent="0.2">
      <c r="A12" s="37">
        <v>3</v>
      </c>
      <c r="B12" s="509"/>
      <c r="C12" s="510"/>
      <c r="D12" s="495"/>
      <c r="E12" s="512"/>
      <c r="F12" s="1115"/>
      <c r="G12" s="1110" t="str">
        <f t="shared" ref="G12:G74" si="14">IFERROR(IF(F12&lt;$G$9,"No","Yes"),"")</f>
        <v>No</v>
      </c>
      <c r="H12" s="513"/>
      <c r="I12" s="482"/>
      <c r="J12" s="70"/>
      <c r="K12" s="1120">
        <f t="shared" si="4"/>
        <v>0</v>
      </c>
      <c r="L12" s="1125"/>
      <c r="M12" s="396"/>
      <c r="N12" s="593"/>
      <c r="O12" s="354">
        <f t="shared" si="5"/>
        <v>0</v>
      </c>
      <c r="P12" s="355">
        <f>IF(H12="y",(((N12+O12)*Rates!$J$331))/24,((N12+O12)/24))</f>
        <v>0</v>
      </c>
      <c r="Q12" s="355">
        <f>P12*M12*K12</f>
        <v>0</v>
      </c>
      <c r="R12" s="101">
        <f>IF(H12="Y",Rates!$I$362*Q12,Q12)</f>
        <v>0</v>
      </c>
      <c r="S12" s="101">
        <f t="shared" si="7"/>
        <v>0</v>
      </c>
      <c r="T12" s="66">
        <f t="shared" si="8"/>
        <v>0</v>
      </c>
      <c r="U12" s="63"/>
      <c r="V12" s="462"/>
      <c r="W12" s="1120">
        <f t="shared" si="9"/>
        <v>0</v>
      </c>
      <c r="X12" s="1125"/>
      <c r="Y12" s="396"/>
      <c r="Z12" s="481"/>
      <c r="AA12" s="480">
        <f>IF(Z12="",0,ROUND(VLOOKUP(Z12,Compsch!$A$10:$B$509,2),2))</f>
        <v>0</v>
      </c>
      <c r="AB12" s="480">
        <f t="shared" si="0"/>
        <v>0</v>
      </c>
      <c r="AC12" s="480">
        <f t="shared" si="10"/>
        <v>0</v>
      </c>
      <c r="AD12" s="1112" t="str">
        <f t="shared" ref="AD12:AD75" si="15">IF(AND(F12="",V12&lt;&gt;"Y"),"",IF(OR(RIGHT(Z12,2)="10",V12="Y"),DATE(2021,7,1),IF(G12="No",DATE(YEAR(F12)+1,MONTH(F12),DAY(F12)),F12)))</f>
        <v/>
      </c>
      <c r="AE12" s="459">
        <f>IF(AD12="",0,ROUND((VLOOKUP(Z12,Compsch!$A$11:$I$390,9)-(VLOOKUP(Z12,Compsch!$A$11:$I$390,7)))*(VLOOKUP(AD12,MeritSch!$A$5:$B$370,2)),0))</f>
        <v>0</v>
      </c>
      <c r="AF12" s="480">
        <f t="shared" si="2"/>
        <v>0</v>
      </c>
      <c r="AG12" s="605">
        <f t="shared" si="11"/>
        <v>0</v>
      </c>
      <c r="AH12" s="373">
        <f>IF(H12="Y",((((AA12+AB12+AG12)*W12)*Rates!$I$379))/24,(((AA12+AB12+AG12)*W12)/24))</f>
        <v>0</v>
      </c>
      <c r="AI12" s="464">
        <f t="shared" si="12"/>
        <v>0</v>
      </c>
      <c r="AJ12" s="465"/>
      <c r="AK12" s="479">
        <f>IF(H12="Y",(AI12*Rates!$I$379+AJ12),(AI12+AJ12))</f>
        <v>0</v>
      </c>
      <c r="AL12" s="426">
        <f t="shared" si="13"/>
        <v>0</v>
      </c>
      <c r="AM12" s="463">
        <f t="shared" si="3"/>
        <v>0</v>
      </c>
      <c r="AN12" s="37">
        <v>3</v>
      </c>
      <c r="AO12" s="1096"/>
      <c r="AP12" s="1097"/>
      <c r="AQ12" s="387"/>
      <c r="AR12" s="1070"/>
      <c r="AS12" s="387"/>
      <c r="AT12" s="1097"/>
      <c r="AU12" s="428"/>
      <c r="AV12" s="622"/>
      <c r="AW12" s="623"/>
    </row>
    <row r="13" spans="1:58" ht="26.25" customHeight="1" x14ac:dyDescent="0.2">
      <c r="A13" s="37">
        <v>4</v>
      </c>
      <c r="B13" s="509"/>
      <c r="C13" s="510"/>
      <c r="D13" s="511"/>
      <c r="E13" s="512"/>
      <c r="F13" s="1115"/>
      <c r="G13" s="1110" t="str">
        <f t="shared" si="14"/>
        <v>No</v>
      </c>
      <c r="H13" s="513"/>
      <c r="I13" s="482"/>
      <c r="J13" s="70"/>
      <c r="K13" s="1120">
        <f t="shared" si="4"/>
        <v>0</v>
      </c>
      <c r="L13" s="1125"/>
      <c r="M13" s="396"/>
      <c r="N13" s="593"/>
      <c r="O13" s="354">
        <f t="shared" si="5"/>
        <v>0</v>
      </c>
      <c r="P13" s="355">
        <f>IF(H13="y",(((N13+O13)*Rates!$J$331))/24,((N13+O13)/24))</f>
        <v>0</v>
      </c>
      <c r="Q13" s="355">
        <f>P13*M13*K13</f>
        <v>0</v>
      </c>
      <c r="R13" s="101">
        <f>IF(H13="Y",Rates!$I$362*Q13,Q13)</f>
        <v>0</v>
      </c>
      <c r="S13" s="101">
        <f t="shared" si="7"/>
        <v>0</v>
      </c>
      <c r="T13" s="66">
        <f t="shared" si="8"/>
        <v>0</v>
      </c>
      <c r="U13" s="63"/>
      <c r="V13" s="462"/>
      <c r="W13" s="1120">
        <f t="shared" si="9"/>
        <v>0</v>
      </c>
      <c r="X13" s="1125"/>
      <c r="Y13" s="396"/>
      <c r="Z13" s="481"/>
      <c r="AA13" s="480">
        <f>IF(Z13="",0,ROUND(VLOOKUP(Z13,Compsch!$A$10:$B$509,2),2))</f>
        <v>0</v>
      </c>
      <c r="AB13" s="480">
        <f t="shared" si="0"/>
        <v>0</v>
      </c>
      <c r="AC13" s="480">
        <f t="shared" si="10"/>
        <v>0</v>
      </c>
      <c r="AD13" s="1112" t="str">
        <f t="shared" si="15"/>
        <v/>
      </c>
      <c r="AE13" s="459">
        <f>IF(AD13="",0,ROUND((VLOOKUP(Z13,Compsch!$A$11:$I$390,9)-(VLOOKUP(Z13,Compsch!$A$11:$I$390,7)))*(VLOOKUP(AD13,MeritSch!$A$5:$B$370,2)),0))</f>
        <v>0</v>
      </c>
      <c r="AF13" s="480">
        <f t="shared" si="2"/>
        <v>0</v>
      </c>
      <c r="AG13" s="605">
        <f t="shared" si="11"/>
        <v>0</v>
      </c>
      <c r="AH13" s="373">
        <f>IF(H13="Y",((((AA13+AB13+AG13)*W13)*Rates!$I$379))/24,(((AA13+AB13+AG13)*W13)/24))</f>
        <v>0</v>
      </c>
      <c r="AI13" s="464">
        <f t="shared" si="12"/>
        <v>0</v>
      </c>
      <c r="AJ13" s="465"/>
      <c r="AK13" s="479">
        <f>IF(H13="Y",(AI13*Rates!$I$379+AJ13),(AI13+AJ13))</f>
        <v>0</v>
      </c>
      <c r="AL13" s="426">
        <f t="shared" si="13"/>
        <v>0</v>
      </c>
      <c r="AM13" s="463">
        <f t="shared" si="3"/>
        <v>0</v>
      </c>
      <c r="AN13" s="37">
        <v>4</v>
      </c>
      <c r="AO13" s="1096"/>
      <c r="AP13" s="1097"/>
      <c r="AQ13" s="387"/>
      <c r="AR13" s="1070"/>
      <c r="AS13" s="387"/>
      <c r="AT13" s="1097"/>
      <c r="AU13" s="428"/>
      <c r="AV13" s="622"/>
      <c r="AW13" s="623"/>
    </row>
    <row r="14" spans="1:58" ht="26.25" customHeight="1" x14ac:dyDescent="0.2">
      <c r="A14" s="37">
        <v>5</v>
      </c>
      <c r="B14" s="509"/>
      <c r="C14" s="510"/>
      <c r="D14" s="511"/>
      <c r="E14" s="512"/>
      <c r="F14" s="1115"/>
      <c r="G14" s="1110" t="str">
        <f t="shared" si="14"/>
        <v>No</v>
      </c>
      <c r="H14" s="513"/>
      <c r="I14" s="482"/>
      <c r="J14" s="70"/>
      <c r="K14" s="1120">
        <f t="shared" si="4"/>
        <v>0</v>
      </c>
      <c r="L14" s="1125"/>
      <c r="M14" s="396"/>
      <c r="N14" s="593"/>
      <c r="O14" s="354">
        <f t="shared" si="5"/>
        <v>0</v>
      </c>
      <c r="P14" s="355">
        <f>IF(H14="y",(((N14+O14)*Rates!$J$331))/24,((N14+O14)/24))</f>
        <v>0</v>
      </c>
      <c r="Q14" s="355">
        <f t="shared" si="6"/>
        <v>0</v>
      </c>
      <c r="R14" s="101">
        <f>IF(H14="Y",Rates!$I$362*Q14,Q14)</f>
        <v>0</v>
      </c>
      <c r="S14" s="101">
        <f t="shared" si="7"/>
        <v>0</v>
      </c>
      <c r="T14" s="66">
        <f t="shared" si="8"/>
        <v>0</v>
      </c>
      <c r="U14" s="63"/>
      <c r="V14" s="462"/>
      <c r="W14" s="1120">
        <f t="shared" si="9"/>
        <v>0</v>
      </c>
      <c r="X14" s="1125"/>
      <c r="Y14" s="396"/>
      <c r="Z14" s="481"/>
      <c r="AA14" s="480">
        <f>IF(Z14="",0,ROUND(VLOOKUP(Z14,Compsch!$A$10:$B$509,2),2))</f>
        <v>0</v>
      </c>
      <c r="AB14" s="480">
        <f t="shared" si="0"/>
        <v>0</v>
      </c>
      <c r="AC14" s="480">
        <f t="shared" si="10"/>
        <v>0</v>
      </c>
      <c r="AD14" s="1112" t="str">
        <f t="shared" si="15"/>
        <v/>
      </c>
      <c r="AE14" s="459">
        <f>IF(AD14="",0,ROUND((VLOOKUP(Z14,Compsch!$A$11:$I$390,9)-(VLOOKUP(Z14,Compsch!$A$11:$I$390,7)))*(VLOOKUP(AD14,MeritSch!$A$5:$B$370,2)),0))</f>
        <v>0</v>
      </c>
      <c r="AF14" s="480">
        <f t="shared" si="2"/>
        <v>0</v>
      </c>
      <c r="AG14" s="605">
        <f t="shared" si="11"/>
        <v>0</v>
      </c>
      <c r="AH14" s="373">
        <f>IF(H14="Y",((((AA14+AB14+AG14)*W14)*Rates!$I$379))/24,(((AA14+AB14+AG14)*W14)/24))</f>
        <v>0</v>
      </c>
      <c r="AI14" s="464">
        <f t="shared" si="12"/>
        <v>0</v>
      </c>
      <c r="AJ14" s="465"/>
      <c r="AK14" s="479">
        <f>IF(H14="Y",(AI14*Rates!$I$379+AJ14),(AI14+AJ14))</f>
        <v>0</v>
      </c>
      <c r="AL14" s="426">
        <f t="shared" si="13"/>
        <v>0</v>
      </c>
      <c r="AM14" s="463">
        <f t="shared" si="3"/>
        <v>0</v>
      </c>
      <c r="AN14" s="37">
        <v>5</v>
      </c>
      <c r="AO14" s="1096"/>
      <c r="AP14" s="1097"/>
      <c r="AQ14" s="387"/>
      <c r="AR14" s="1070"/>
      <c r="AS14" s="387"/>
      <c r="AT14" s="1097"/>
      <c r="AU14" s="428"/>
      <c r="AV14" s="622"/>
      <c r="AW14" s="623"/>
    </row>
    <row r="15" spans="1:58" ht="27" customHeight="1" x14ac:dyDescent="0.2">
      <c r="A15" s="37">
        <v>6</v>
      </c>
      <c r="B15" s="509"/>
      <c r="C15" s="510"/>
      <c r="D15" s="511"/>
      <c r="E15" s="512"/>
      <c r="F15" s="1115"/>
      <c r="G15" s="1110" t="str">
        <f t="shared" si="14"/>
        <v>No</v>
      </c>
      <c r="H15" s="513"/>
      <c r="I15" s="482"/>
      <c r="J15" s="70"/>
      <c r="K15" s="1120">
        <f t="shared" si="4"/>
        <v>0</v>
      </c>
      <c r="L15" s="1125"/>
      <c r="M15" s="396"/>
      <c r="N15" s="593"/>
      <c r="O15" s="354">
        <f t="shared" si="5"/>
        <v>0</v>
      </c>
      <c r="P15" s="355">
        <f>IF(H15="y",(((N15+O15)*Rates!$J$331))/24,((N15+O15)/24))</f>
        <v>0</v>
      </c>
      <c r="Q15" s="355">
        <f t="shared" si="6"/>
        <v>0</v>
      </c>
      <c r="R15" s="101">
        <f>IF(H15="Y",Rates!$I$362*Q15,Q15)</f>
        <v>0</v>
      </c>
      <c r="S15" s="101">
        <f t="shared" si="7"/>
        <v>0</v>
      </c>
      <c r="T15" s="66">
        <f t="shared" si="8"/>
        <v>0</v>
      </c>
      <c r="U15" s="63"/>
      <c r="V15" s="462"/>
      <c r="W15" s="1120">
        <f t="shared" si="9"/>
        <v>0</v>
      </c>
      <c r="X15" s="1125"/>
      <c r="Y15" s="396"/>
      <c r="Z15" s="481"/>
      <c r="AA15" s="480">
        <f>IF(Z15="",0,ROUND(VLOOKUP(Z15,Compsch!$A$10:$B$509,2),2))</f>
        <v>0</v>
      </c>
      <c r="AB15" s="480">
        <f t="shared" si="0"/>
        <v>0</v>
      </c>
      <c r="AC15" s="480">
        <f t="shared" si="10"/>
        <v>0</v>
      </c>
      <c r="AD15" s="1112" t="str">
        <f t="shared" si="15"/>
        <v/>
      </c>
      <c r="AE15" s="459">
        <f>IF(AD15="",0,ROUND((VLOOKUP(Z15,Compsch!$A$11:$I$390,9)-(VLOOKUP(Z15,Compsch!$A$11:$I$390,7)))*(VLOOKUP(AD15,MeritSch!$A$5:$B$370,2)),0))</f>
        <v>0</v>
      </c>
      <c r="AF15" s="480">
        <f t="shared" si="2"/>
        <v>0</v>
      </c>
      <c r="AG15" s="605">
        <f t="shared" si="11"/>
        <v>0</v>
      </c>
      <c r="AH15" s="373">
        <f>IF(H15="Y",((((AA15+AB15+AG15)*W15)*Rates!$I$379))/24,(((AA15+AB15+AG15)*W15)/24))</f>
        <v>0</v>
      </c>
      <c r="AI15" s="464">
        <f t="shared" si="12"/>
        <v>0</v>
      </c>
      <c r="AJ15" s="465"/>
      <c r="AK15" s="479">
        <f>IF(H15="Y",(AI15*Rates!$I$379+AJ15),(AI15+AJ15))</f>
        <v>0</v>
      </c>
      <c r="AL15" s="426">
        <f t="shared" si="13"/>
        <v>0</v>
      </c>
      <c r="AM15" s="463">
        <f t="shared" si="3"/>
        <v>0</v>
      </c>
      <c r="AN15" s="37">
        <v>6</v>
      </c>
      <c r="AO15" s="1096"/>
      <c r="AP15" s="1097"/>
      <c r="AQ15" s="387"/>
      <c r="AR15" s="1070"/>
      <c r="AS15" s="387"/>
      <c r="AT15" s="1097"/>
      <c r="AU15" s="428"/>
      <c r="AV15" s="622"/>
      <c r="AW15" s="623"/>
    </row>
    <row r="16" spans="1:58" ht="27" customHeight="1" x14ac:dyDescent="0.2">
      <c r="A16" s="37">
        <v>7</v>
      </c>
      <c r="B16" s="509"/>
      <c r="C16" s="510"/>
      <c r="D16" s="511"/>
      <c r="E16" s="512"/>
      <c r="F16" s="1115"/>
      <c r="G16" s="1110" t="str">
        <f t="shared" si="14"/>
        <v>No</v>
      </c>
      <c r="H16" s="513"/>
      <c r="I16" s="482"/>
      <c r="J16" s="70"/>
      <c r="K16" s="1120">
        <f t="shared" si="4"/>
        <v>0</v>
      </c>
      <c r="L16" s="1125"/>
      <c r="M16" s="396"/>
      <c r="N16" s="593"/>
      <c r="O16" s="354">
        <f t="shared" si="5"/>
        <v>0</v>
      </c>
      <c r="P16" s="355">
        <f>IF(H16="y",(((N16+O16)*Rates!$J$331))/24,((N16+O16)/24))</f>
        <v>0</v>
      </c>
      <c r="Q16" s="355">
        <f t="shared" si="6"/>
        <v>0</v>
      </c>
      <c r="R16" s="101">
        <f>IF(H16="Y",Rates!$I$362*Q16,Q16)</f>
        <v>0</v>
      </c>
      <c r="S16" s="101">
        <f t="shared" si="7"/>
        <v>0</v>
      </c>
      <c r="T16" s="66">
        <f t="shared" si="8"/>
        <v>0</v>
      </c>
      <c r="U16" s="63"/>
      <c r="V16" s="462"/>
      <c r="W16" s="1120">
        <f t="shared" si="9"/>
        <v>0</v>
      </c>
      <c r="X16" s="1125"/>
      <c r="Y16" s="396"/>
      <c r="Z16" s="481"/>
      <c r="AA16" s="480">
        <f>IF(Z16="",0,ROUND(VLOOKUP(Z16,Compsch!$A$10:$B$509,2),2))</f>
        <v>0</v>
      </c>
      <c r="AB16" s="480">
        <f t="shared" si="0"/>
        <v>0</v>
      </c>
      <c r="AC16" s="480">
        <f t="shared" si="10"/>
        <v>0</v>
      </c>
      <c r="AD16" s="1112" t="str">
        <f t="shared" si="15"/>
        <v/>
      </c>
      <c r="AE16" s="459">
        <f>IF(AD16="",0,ROUND((VLOOKUP(Z16,Compsch!$A$11:$I$390,9)-(VLOOKUP(Z16,Compsch!$A$11:$I$390,7)))*(VLOOKUP(AD16,MeritSch!$A$5:$B$370,2)),0))</f>
        <v>0</v>
      </c>
      <c r="AF16" s="480">
        <f t="shared" si="2"/>
        <v>0</v>
      </c>
      <c r="AG16" s="605">
        <f t="shared" si="11"/>
        <v>0</v>
      </c>
      <c r="AH16" s="373">
        <f>IF(H16="Y",((((AA16+AB16+AG16)*W16)*Rates!$I$379))/24,(((AA16+AB16+AG16)*W16)/24))</f>
        <v>0</v>
      </c>
      <c r="AI16" s="464">
        <f t="shared" si="12"/>
        <v>0</v>
      </c>
      <c r="AJ16" s="465"/>
      <c r="AK16" s="479">
        <f>IF(H16="Y",(AI16*Rates!$I$379+AJ16),(AI16+AJ16))</f>
        <v>0</v>
      </c>
      <c r="AL16" s="426">
        <f t="shared" si="13"/>
        <v>0</v>
      </c>
      <c r="AM16" s="463">
        <f t="shared" si="3"/>
        <v>0</v>
      </c>
      <c r="AN16" s="37">
        <v>7</v>
      </c>
      <c r="AO16" s="1096"/>
      <c r="AP16" s="1097"/>
      <c r="AQ16" s="387"/>
      <c r="AR16" s="1070"/>
      <c r="AS16" s="387"/>
      <c r="AT16" s="1097"/>
      <c r="AU16" s="428"/>
      <c r="AV16" s="622"/>
      <c r="AW16" s="623"/>
    </row>
    <row r="17" spans="1:49" ht="27" customHeight="1" x14ac:dyDescent="0.2">
      <c r="A17" s="37">
        <v>8</v>
      </c>
      <c r="B17" s="509"/>
      <c r="C17" s="510"/>
      <c r="D17" s="511"/>
      <c r="E17" s="512"/>
      <c r="F17" s="1115"/>
      <c r="G17" s="1110" t="str">
        <f t="shared" si="14"/>
        <v>No</v>
      </c>
      <c r="H17" s="513"/>
      <c r="I17" s="482"/>
      <c r="J17" s="70"/>
      <c r="K17" s="1120">
        <f t="shared" si="4"/>
        <v>0</v>
      </c>
      <c r="L17" s="1125"/>
      <c r="M17" s="396"/>
      <c r="N17" s="593"/>
      <c r="O17" s="354">
        <f t="shared" si="5"/>
        <v>0</v>
      </c>
      <c r="P17" s="355">
        <f>IF(H17="y",(((N17+O17)*Rates!$J$331))/24,((N17+O17)/24))</f>
        <v>0</v>
      </c>
      <c r="Q17" s="355">
        <f t="shared" si="6"/>
        <v>0</v>
      </c>
      <c r="R17" s="101">
        <f>IF(H17="Y",Rates!$I$362*Q17,Q17)</f>
        <v>0</v>
      </c>
      <c r="S17" s="101">
        <f t="shared" si="7"/>
        <v>0</v>
      </c>
      <c r="T17" s="66">
        <f t="shared" si="8"/>
        <v>0</v>
      </c>
      <c r="U17" s="63"/>
      <c r="V17" s="462"/>
      <c r="W17" s="1120">
        <f t="shared" si="9"/>
        <v>0</v>
      </c>
      <c r="X17" s="1125"/>
      <c r="Y17" s="396"/>
      <c r="Z17" s="481"/>
      <c r="AA17" s="480">
        <f>IF(Z17="",0,ROUND(VLOOKUP(Z17,Compsch!$A$10:$B$509,2),2))</f>
        <v>0</v>
      </c>
      <c r="AB17" s="480">
        <f t="shared" si="0"/>
        <v>0</v>
      </c>
      <c r="AC17" s="480">
        <f t="shared" si="10"/>
        <v>0</v>
      </c>
      <c r="AD17" s="1112" t="str">
        <f t="shared" si="15"/>
        <v/>
      </c>
      <c r="AE17" s="459">
        <f>IF(AD17="",0,ROUND((VLOOKUP(Z17,Compsch!$A$11:$I$390,9)-(VLOOKUP(Z17,Compsch!$A$11:$I$390,7)))*(VLOOKUP(AD17,MeritSch!$A$5:$B$370,2)),0))</f>
        <v>0</v>
      </c>
      <c r="AF17" s="480">
        <f t="shared" si="2"/>
        <v>0</v>
      </c>
      <c r="AG17" s="605">
        <f t="shared" si="11"/>
        <v>0</v>
      </c>
      <c r="AH17" s="373">
        <f>IF(H17="Y",((((AA17+AB17+AG17)*W17)*Rates!$I$379))/24,(((AA17+AB17+AG17)*W17)/24))</f>
        <v>0</v>
      </c>
      <c r="AI17" s="464">
        <f t="shared" si="12"/>
        <v>0</v>
      </c>
      <c r="AJ17" s="465"/>
      <c r="AK17" s="479">
        <f>IF(H17="Y",(AI17*Rates!$I$379+AJ17),(AI17+AJ17))</f>
        <v>0</v>
      </c>
      <c r="AL17" s="426">
        <f t="shared" si="13"/>
        <v>0</v>
      </c>
      <c r="AM17" s="463">
        <f t="shared" si="3"/>
        <v>0</v>
      </c>
      <c r="AN17" s="37">
        <v>8</v>
      </c>
      <c r="AO17" s="1096"/>
      <c r="AP17" s="1097"/>
      <c r="AQ17" s="387"/>
      <c r="AR17" s="1070"/>
      <c r="AS17" s="387"/>
      <c r="AT17" s="1097"/>
      <c r="AU17" s="428"/>
      <c r="AV17" s="622"/>
      <c r="AW17" s="623"/>
    </row>
    <row r="18" spans="1:49" ht="27" customHeight="1" x14ac:dyDescent="0.2">
      <c r="A18" s="37">
        <v>9</v>
      </c>
      <c r="B18" s="509"/>
      <c r="C18" s="510"/>
      <c r="D18" s="511"/>
      <c r="E18" s="512"/>
      <c r="F18" s="1115"/>
      <c r="G18" s="1110" t="str">
        <f t="shared" si="14"/>
        <v>No</v>
      </c>
      <c r="H18" s="513"/>
      <c r="I18" s="482"/>
      <c r="J18" s="70"/>
      <c r="K18" s="1120">
        <f t="shared" si="4"/>
        <v>0</v>
      </c>
      <c r="L18" s="1125"/>
      <c r="M18" s="396"/>
      <c r="N18" s="593"/>
      <c r="O18" s="354">
        <f t="shared" si="5"/>
        <v>0</v>
      </c>
      <c r="P18" s="355">
        <f>IF(H18="y",(((N18+O18)*Rates!$J$331))/24,((N18+O18)/24))</f>
        <v>0</v>
      </c>
      <c r="Q18" s="355">
        <f t="shared" si="6"/>
        <v>0</v>
      </c>
      <c r="R18" s="101">
        <f>IF(H18="Y",Rates!$I$362*Q18,Q18)</f>
        <v>0</v>
      </c>
      <c r="S18" s="101">
        <f t="shared" si="7"/>
        <v>0</v>
      </c>
      <c r="T18" s="66">
        <f t="shared" si="8"/>
        <v>0</v>
      </c>
      <c r="U18" s="63"/>
      <c r="V18" s="462"/>
      <c r="W18" s="1120">
        <f t="shared" si="9"/>
        <v>0</v>
      </c>
      <c r="X18" s="1125"/>
      <c r="Y18" s="396"/>
      <c r="Z18" s="481"/>
      <c r="AA18" s="480">
        <f>IF(Z18="",0,ROUND(VLOOKUP(Z18,Compsch!$A$10:$B$509,2),2))</f>
        <v>0</v>
      </c>
      <c r="AB18" s="480">
        <f t="shared" si="0"/>
        <v>0</v>
      </c>
      <c r="AC18" s="480">
        <f t="shared" si="10"/>
        <v>0</v>
      </c>
      <c r="AD18" s="1112" t="str">
        <f t="shared" si="15"/>
        <v/>
      </c>
      <c r="AE18" s="459">
        <f>IF(AD18="",0,ROUND((VLOOKUP(Z18,Compsch!$A$11:$I$390,9)-(VLOOKUP(Z18,Compsch!$A$11:$I$390,7)))*(VLOOKUP(AD18,MeritSch!$A$5:$B$370,2)),0))</f>
        <v>0</v>
      </c>
      <c r="AF18" s="480">
        <f t="shared" si="2"/>
        <v>0</v>
      </c>
      <c r="AG18" s="605">
        <f t="shared" si="11"/>
        <v>0</v>
      </c>
      <c r="AH18" s="373">
        <f>IF(H18="Y",((((AA18+AB18+AG18)*W18)*Rates!$I$379))/24,(((AA18+AB18+AG18)*W18)/24))</f>
        <v>0</v>
      </c>
      <c r="AI18" s="464">
        <f t="shared" si="12"/>
        <v>0</v>
      </c>
      <c r="AJ18" s="465"/>
      <c r="AK18" s="479">
        <f>IF(H18="Y",(AI18*Rates!$I$379+AJ18),(AI18+AJ18))</f>
        <v>0</v>
      </c>
      <c r="AL18" s="426">
        <f t="shared" si="13"/>
        <v>0</v>
      </c>
      <c r="AM18" s="463">
        <f t="shared" si="3"/>
        <v>0</v>
      </c>
      <c r="AN18" s="37">
        <v>9</v>
      </c>
      <c r="AO18" s="1096"/>
      <c r="AP18" s="1097"/>
      <c r="AQ18" s="387"/>
      <c r="AR18" s="1070"/>
      <c r="AS18" s="387"/>
      <c r="AT18" s="1097"/>
      <c r="AU18" s="428"/>
      <c r="AV18" s="622"/>
      <c r="AW18" s="623"/>
    </row>
    <row r="19" spans="1:49" ht="27" customHeight="1" x14ac:dyDescent="0.2">
      <c r="A19" s="37">
        <v>10</v>
      </c>
      <c r="B19" s="509"/>
      <c r="C19" s="510"/>
      <c r="D19" s="511"/>
      <c r="E19" s="512"/>
      <c r="F19" s="1115"/>
      <c r="G19" s="1110" t="str">
        <f t="shared" si="14"/>
        <v>No</v>
      </c>
      <c r="H19" s="513"/>
      <c r="I19" s="482"/>
      <c r="J19" s="70"/>
      <c r="K19" s="1120">
        <f t="shared" si="4"/>
        <v>0</v>
      </c>
      <c r="L19" s="1125"/>
      <c r="M19" s="396"/>
      <c r="N19" s="593"/>
      <c r="O19" s="354">
        <f t="shared" si="5"/>
        <v>0</v>
      </c>
      <c r="P19" s="355">
        <f>IF(H19="y",(((N19+O19)*Rates!$J$331))/24,((N19+O19)/24))</f>
        <v>0</v>
      </c>
      <c r="Q19" s="355">
        <f t="shared" si="6"/>
        <v>0</v>
      </c>
      <c r="R19" s="101">
        <f>IF(H19="Y",Rates!$I$362*Q19,Q19)</f>
        <v>0</v>
      </c>
      <c r="S19" s="101">
        <f t="shared" si="7"/>
        <v>0</v>
      </c>
      <c r="T19" s="66">
        <f t="shared" si="8"/>
        <v>0</v>
      </c>
      <c r="U19" s="63"/>
      <c r="V19" s="462"/>
      <c r="W19" s="1120">
        <f t="shared" si="9"/>
        <v>0</v>
      </c>
      <c r="X19" s="1125"/>
      <c r="Y19" s="396"/>
      <c r="Z19" s="481"/>
      <c r="AA19" s="480">
        <f>IF(Z19="",0,ROUND(VLOOKUP(Z19,Compsch!$A$10:$B$509,2),2))</f>
        <v>0</v>
      </c>
      <c r="AB19" s="480">
        <f t="shared" si="0"/>
        <v>0</v>
      </c>
      <c r="AC19" s="480">
        <f t="shared" si="10"/>
        <v>0</v>
      </c>
      <c r="AD19" s="1112" t="str">
        <f t="shared" si="15"/>
        <v/>
      </c>
      <c r="AE19" s="459">
        <f>IF(AD19="",0,ROUND((VLOOKUP(Z19,Compsch!$A$11:$I$390,9)-(VLOOKUP(Z19,Compsch!$A$11:$I$390,7)))*(VLOOKUP(AD19,MeritSch!$A$5:$B$370,2)),0))</f>
        <v>0</v>
      </c>
      <c r="AF19" s="480">
        <f t="shared" si="2"/>
        <v>0</v>
      </c>
      <c r="AG19" s="605">
        <f t="shared" si="11"/>
        <v>0</v>
      </c>
      <c r="AH19" s="373">
        <f>IF(H19="Y",((((AA19+AB19+AG19)*W19)*Rates!$I$379))/24,(((AA19+AB19+AG19)*W19)/24))</f>
        <v>0</v>
      </c>
      <c r="AI19" s="464">
        <f t="shared" si="12"/>
        <v>0</v>
      </c>
      <c r="AJ19" s="465"/>
      <c r="AK19" s="479">
        <f>IF(H19="Y",(AI19*Rates!$I$379+AJ19),(AI19+AJ19))</f>
        <v>0</v>
      </c>
      <c r="AL19" s="426">
        <f t="shared" si="13"/>
        <v>0</v>
      </c>
      <c r="AM19" s="463">
        <f t="shared" si="3"/>
        <v>0</v>
      </c>
      <c r="AN19" s="37">
        <v>10</v>
      </c>
      <c r="AO19" s="1096"/>
      <c r="AP19" s="1097"/>
      <c r="AQ19" s="387"/>
      <c r="AR19" s="1070"/>
      <c r="AS19" s="387"/>
      <c r="AT19" s="1097"/>
      <c r="AU19" s="428"/>
      <c r="AV19" s="622"/>
      <c r="AW19" s="623"/>
    </row>
    <row r="20" spans="1:49" ht="27" customHeight="1" x14ac:dyDescent="0.2">
      <c r="A20" s="37">
        <v>11</v>
      </c>
      <c r="B20" s="509"/>
      <c r="C20" s="510"/>
      <c r="D20" s="511"/>
      <c r="E20" s="512"/>
      <c r="F20" s="1115"/>
      <c r="G20" s="1110" t="str">
        <f t="shared" si="14"/>
        <v>No</v>
      </c>
      <c r="H20" s="513"/>
      <c r="I20" s="482"/>
      <c r="J20" s="70"/>
      <c r="K20" s="1120">
        <f t="shared" si="4"/>
        <v>0</v>
      </c>
      <c r="L20" s="1125"/>
      <c r="M20" s="396"/>
      <c r="N20" s="593"/>
      <c r="O20" s="354">
        <f t="shared" si="5"/>
        <v>0</v>
      </c>
      <c r="P20" s="355">
        <f>IF(H20="y",(((N20+O20)*Rates!$J$331))/24,((N20+O20)/24))</f>
        <v>0</v>
      </c>
      <c r="Q20" s="355">
        <f t="shared" si="6"/>
        <v>0</v>
      </c>
      <c r="R20" s="101">
        <f>IF(H20="Y",Rates!$I$362*Q20,Q20)</f>
        <v>0</v>
      </c>
      <c r="S20" s="101">
        <f t="shared" si="7"/>
        <v>0</v>
      </c>
      <c r="T20" s="66">
        <f t="shared" si="8"/>
        <v>0</v>
      </c>
      <c r="U20" s="63"/>
      <c r="V20" s="462"/>
      <c r="W20" s="1120">
        <f t="shared" si="9"/>
        <v>0</v>
      </c>
      <c r="X20" s="1125"/>
      <c r="Y20" s="396"/>
      <c r="Z20" s="481"/>
      <c r="AA20" s="480">
        <f>IF(Z20="",0,ROUND(VLOOKUP(Z20,Compsch!$A$10:$B$509,2),2))</f>
        <v>0</v>
      </c>
      <c r="AB20" s="480">
        <f t="shared" si="0"/>
        <v>0</v>
      </c>
      <c r="AC20" s="480">
        <f t="shared" si="10"/>
        <v>0</v>
      </c>
      <c r="AD20" s="1145" t="str">
        <f t="shared" si="15"/>
        <v/>
      </c>
      <c r="AE20" s="459">
        <f>IF(AD20="",0,ROUND((VLOOKUP(Z20,Compsch!$A$11:$I$390,9)-(VLOOKUP(Z20,Compsch!$A$11:$I$390,7)))*(VLOOKUP(AD20,MeritSch!$A$5:$B$370,2)),0))</f>
        <v>0</v>
      </c>
      <c r="AF20" s="480">
        <f t="shared" si="2"/>
        <v>0</v>
      </c>
      <c r="AG20" s="605">
        <f t="shared" si="11"/>
        <v>0</v>
      </c>
      <c r="AH20" s="373">
        <f>IF(H20="Y",((((AA20+AB20+AG20)*W20)*Rates!$I$379))/24,(((AA20+AB20+AG20)*W20)/24))</f>
        <v>0</v>
      </c>
      <c r="AI20" s="464">
        <f t="shared" si="12"/>
        <v>0</v>
      </c>
      <c r="AJ20" s="465"/>
      <c r="AK20" s="479">
        <f>IF(H20="Y",(AI20*Rates!$I$379+AJ20),(AI20+AJ20))</f>
        <v>0</v>
      </c>
      <c r="AL20" s="426">
        <f t="shared" si="13"/>
        <v>0</v>
      </c>
      <c r="AM20" s="463">
        <f t="shared" si="3"/>
        <v>0</v>
      </c>
      <c r="AN20" s="37">
        <v>11</v>
      </c>
      <c r="AO20" s="1096"/>
      <c r="AP20" s="1097"/>
      <c r="AQ20" s="387"/>
      <c r="AR20" s="1070"/>
      <c r="AS20" s="387"/>
      <c r="AT20" s="1097"/>
      <c r="AU20" s="428"/>
      <c r="AV20" s="622"/>
      <c r="AW20" s="623"/>
    </row>
    <row r="21" spans="1:49" ht="27" customHeight="1" x14ac:dyDescent="0.2">
      <c r="A21" s="37">
        <v>12</v>
      </c>
      <c r="B21" s="509"/>
      <c r="C21" s="510"/>
      <c r="D21" s="511"/>
      <c r="E21" s="512"/>
      <c r="F21" s="1115"/>
      <c r="G21" s="1110" t="str">
        <f t="shared" si="14"/>
        <v>No</v>
      </c>
      <c r="H21" s="513"/>
      <c r="I21" s="482"/>
      <c r="J21" s="70"/>
      <c r="K21" s="1120">
        <f t="shared" si="4"/>
        <v>0</v>
      </c>
      <c r="L21" s="1125"/>
      <c r="M21" s="396"/>
      <c r="N21" s="593"/>
      <c r="O21" s="354">
        <f t="shared" si="5"/>
        <v>0</v>
      </c>
      <c r="P21" s="355">
        <f>IF(H21="y",(((N21+O21)*Rates!$J$331))/24,((N21+O21)/24))</f>
        <v>0</v>
      </c>
      <c r="Q21" s="355">
        <f t="shared" si="6"/>
        <v>0</v>
      </c>
      <c r="R21" s="101">
        <f>IF(H21="Y",Rates!$I$362*Q21,Q21)</f>
        <v>0</v>
      </c>
      <c r="S21" s="101">
        <f t="shared" si="7"/>
        <v>0</v>
      </c>
      <c r="T21" s="66">
        <f t="shared" si="8"/>
        <v>0</v>
      </c>
      <c r="U21" s="63"/>
      <c r="V21" s="462"/>
      <c r="W21" s="1120">
        <f t="shared" si="9"/>
        <v>0</v>
      </c>
      <c r="X21" s="1125"/>
      <c r="Y21" s="396"/>
      <c r="Z21" s="481"/>
      <c r="AA21" s="480">
        <f>IF(Z21="",0,ROUND(VLOOKUP(Z21,Compsch!$A$10:$B$509,2),2))</f>
        <v>0</v>
      </c>
      <c r="AB21" s="480">
        <f t="shared" si="0"/>
        <v>0</v>
      </c>
      <c r="AC21" s="480">
        <f t="shared" si="10"/>
        <v>0</v>
      </c>
      <c r="AD21" s="1112" t="str">
        <f t="shared" si="15"/>
        <v/>
      </c>
      <c r="AE21" s="459">
        <f>IF(AD21="",0,ROUND((VLOOKUP(Z21,Compsch!$A$11:$I$390,9)-(VLOOKUP(Z21,Compsch!$A$11:$I$390,7)))*(VLOOKUP(AD21,MeritSch!$A$5:$B$370,2)),0))</f>
        <v>0</v>
      </c>
      <c r="AF21" s="480">
        <f t="shared" si="2"/>
        <v>0</v>
      </c>
      <c r="AG21" s="605">
        <f t="shared" si="11"/>
        <v>0</v>
      </c>
      <c r="AH21" s="373">
        <f>IF(H21="Y",((((AA21+AB21+AG21)*W21)*Rates!$I$379))/24,(((AA21+AB21+AG21)*W21)/24))</f>
        <v>0</v>
      </c>
      <c r="AI21" s="464">
        <f t="shared" si="12"/>
        <v>0</v>
      </c>
      <c r="AJ21" s="465"/>
      <c r="AK21" s="479">
        <f>IF(H21="Y",(AI21*Rates!$I$379+AJ21),(AI21+AJ21))</f>
        <v>0</v>
      </c>
      <c r="AL21" s="426">
        <f t="shared" si="13"/>
        <v>0</v>
      </c>
      <c r="AM21" s="463">
        <f t="shared" si="3"/>
        <v>0</v>
      </c>
      <c r="AN21" s="37">
        <v>12</v>
      </c>
      <c r="AO21" s="1096"/>
      <c r="AP21" s="1097"/>
      <c r="AQ21" s="387"/>
      <c r="AR21" s="1070"/>
      <c r="AS21" s="387"/>
      <c r="AT21" s="1097"/>
      <c r="AU21" s="428"/>
      <c r="AV21" s="622"/>
      <c r="AW21" s="623"/>
    </row>
    <row r="22" spans="1:49" ht="27" customHeight="1" x14ac:dyDescent="0.2">
      <c r="A22" s="37">
        <v>13</v>
      </c>
      <c r="B22" s="509"/>
      <c r="C22" s="510"/>
      <c r="D22" s="511"/>
      <c r="E22" s="512"/>
      <c r="F22" s="1115"/>
      <c r="G22" s="1110" t="str">
        <f t="shared" si="14"/>
        <v>No</v>
      </c>
      <c r="H22" s="513"/>
      <c r="I22" s="482"/>
      <c r="J22" s="70"/>
      <c r="K22" s="1120">
        <f t="shared" si="4"/>
        <v>0</v>
      </c>
      <c r="L22" s="1125"/>
      <c r="M22" s="396"/>
      <c r="N22" s="593"/>
      <c r="O22" s="354">
        <f t="shared" si="5"/>
        <v>0</v>
      </c>
      <c r="P22" s="355">
        <f>IF(H22="y",(((N22+O22)*Rates!$J$331))/24,((N22+O22)/24))</f>
        <v>0</v>
      </c>
      <c r="Q22" s="355">
        <f t="shared" si="6"/>
        <v>0</v>
      </c>
      <c r="R22" s="101">
        <f>IF(H22="Y",Rates!$I$362*Q22,Q22)</f>
        <v>0</v>
      </c>
      <c r="S22" s="101">
        <f t="shared" si="7"/>
        <v>0</v>
      </c>
      <c r="T22" s="66">
        <f t="shared" si="8"/>
        <v>0</v>
      </c>
      <c r="U22" s="63"/>
      <c r="V22" s="462"/>
      <c r="W22" s="1120">
        <f t="shared" si="9"/>
        <v>0</v>
      </c>
      <c r="X22" s="1125"/>
      <c r="Y22" s="396"/>
      <c r="Z22" s="481"/>
      <c r="AA22" s="480">
        <f>IF(Z22="",0,ROUND(VLOOKUP(Z22,Compsch!$A$10:$B$509,2),2))</f>
        <v>0</v>
      </c>
      <c r="AB22" s="480">
        <f t="shared" si="0"/>
        <v>0</v>
      </c>
      <c r="AC22" s="480">
        <f t="shared" si="10"/>
        <v>0</v>
      </c>
      <c r="AD22" s="1112" t="str">
        <f t="shared" si="15"/>
        <v/>
      </c>
      <c r="AE22" s="459">
        <f>IF(AD22="",0,ROUND((VLOOKUP(Z22,Compsch!$A$11:$I$390,9)-(VLOOKUP(Z22,Compsch!$A$11:$I$390,7)))*(VLOOKUP(AD22,MeritSch!$A$5:$B$370,2)),0))</f>
        <v>0</v>
      </c>
      <c r="AF22" s="480">
        <f t="shared" si="2"/>
        <v>0</v>
      </c>
      <c r="AG22" s="605">
        <f t="shared" si="11"/>
        <v>0</v>
      </c>
      <c r="AH22" s="373">
        <f>IF(H22="Y",((((AA22+AB22+AG22)*W22)*Rates!$I$379))/24,(((AA22+AB22+AG22)*W22)/24))</f>
        <v>0</v>
      </c>
      <c r="AI22" s="464">
        <f t="shared" si="12"/>
        <v>0</v>
      </c>
      <c r="AJ22" s="465"/>
      <c r="AK22" s="479">
        <f>IF(H22="Y",(AI22*Rates!$I$379+AJ22),(AI22+AJ22))</f>
        <v>0</v>
      </c>
      <c r="AL22" s="426">
        <f t="shared" si="13"/>
        <v>0</v>
      </c>
      <c r="AM22" s="463">
        <f t="shared" si="3"/>
        <v>0</v>
      </c>
      <c r="AN22" s="37">
        <v>13</v>
      </c>
      <c r="AO22" s="1096"/>
      <c r="AP22" s="1097"/>
      <c r="AQ22" s="387"/>
      <c r="AR22" s="1070"/>
      <c r="AS22" s="387"/>
      <c r="AT22" s="1097"/>
      <c r="AU22" s="428"/>
      <c r="AV22" s="622"/>
      <c r="AW22" s="623"/>
    </row>
    <row r="23" spans="1:49" ht="27" customHeight="1" x14ac:dyDescent="0.2">
      <c r="A23" s="37">
        <v>14</v>
      </c>
      <c r="B23" s="509"/>
      <c r="C23" s="510"/>
      <c r="D23" s="511"/>
      <c r="E23" s="512"/>
      <c r="F23" s="1115"/>
      <c r="G23" s="1110" t="str">
        <f t="shared" si="14"/>
        <v>No</v>
      </c>
      <c r="H23" s="513"/>
      <c r="I23" s="482"/>
      <c r="J23" s="70"/>
      <c r="K23" s="1120">
        <f t="shared" si="4"/>
        <v>0</v>
      </c>
      <c r="L23" s="1125"/>
      <c r="M23" s="396"/>
      <c r="N23" s="593"/>
      <c r="O23" s="354">
        <f t="shared" si="5"/>
        <v>0</v>
      </c>
      <c r="P23" s="355">
        <f>IF(H23="y",(((N23+O23)*Rates!$J$331))/24,((N23+O23)/24))</f>
        <v>0</v>
      </c>
      <c r="Q23" s="355">
        <f t="shared" si="6"/>
        <v>0</v>
      </c>
      <c r="R23" s="101">
        <f>IF(H23="Y",Rates!$I$362*Q23,Q23)</f>
        <v>0</v>
      </c>
      <c r="S23" s="101">
        <f t="shared" si="7"/>
        <v>0</v>
      </c>
      <c r="T23" s="66">
        <f t="shared" si="8"/>
        <v>0</v>
      </c>
      <c r="U23" s="63"/>
      <c r="V23" s="462"/>
      <c r="W23" s="1120">
        <f t="shared" si="9"/>
        <v>0</v>
      </c>
      <c r="X23" s="1125"/>
      <c r="Y23" s="396"/>
      <c r="Z23" s="481"/>
      <c r="AA23" s="480">
        <f>IF(Z23="",0,ROUND(VLOOKUP(Z23,Compsch!$A$10:$B$509,2),2))</f>
        <v>0</v>
      </c>
      <c r="AB23" s="480">
        <f t="shared" si="0"/>
        <v>0</v>
      </c>
      <c r="AC23" s="480">
        <f t="shared" si="10"/>
        <v>0</v>
      </c>
      <c r="AD23" s="1112" t="str">
        <f t="shared" si="15"/>
        <v/>
      </c>
      <c r="AE23" s="459">
        <f>IF(AD23="",0,ROUND((VLOOKUP(Z23,Compsch!$A$11:$I$390,9)-(VLOOKUP(Z23,Compsch!$A$11:$I$390,7)))*(VLOOKUP(AD23,MeritSch!$A$5:$B$370,2)),0))</f>
        <v>0</v>
      </c>
      <c r="AF23" s="480">
        <f t="shared" si="2"/>
        <v>0</v>
      </c>
      <c r="AG23" s="605">
        <f t="shared" si="11"/>
        <v>0</v>
      </c>
      <c r="AH23" s="373">
        <f>IF(H23="Y",((((AA23+AB23+AG23)*W23)*Rates!$I$379))/24,(((AA23+AB23+AG23)*W23)/24))</f>
        <v>0</v>
      </c>
      <c r="AI23" s="464">
        <f t="shared" si="12"/>
        <v>0</v>
      </c>
      <c r="AJ23" s="465"/>
      <c r="AK23" s="479">
        <f>IF(H23="Y",(AI23*Rates!$I$379+AJ23),(AI23+AJ23))</f>
        <v>0</v>
      </c>
      <c r="AL23" s="426">
        <f t="shared" si="13"/>
        <v>0</v>
      </c>
      <c r="AM23" s="463">
        <f t="shared" si="3"/>
        <v>0</v>
      </c>
      <c r="AN23" s="37">
        <v>14</v>
      </c>
      <c r="AO23" s="1096"/>
      <c r="AP23" s="1097"/>
      <c r="AQ23" s="387"/>
      <c r="AR23" s="1070"/>
      <c r="AS23" s="387"/>
      <c r="AT23" s="1097"/>
      <c r="AU23" s="428"/>
      <c r="AV23" s="622"/>
      <c r="AW23" s="623"/>
    </row>
    <row r="24" spans="1:49" ht="27" customHeight="1" x14ac:dyDescent="0.2">
      <c r="A24" s="37">
        <v>15</v>
      </c>
      <c r="B24" s="509"/>
      <c r="C24" s="510"/>
      <c r="D24" s="511"/>
      <c r="E24" s="512"/>
      <c r="F24" s="1115"/>
      <c r="G24" s="1110" t="str">
        <f t="shared" si="14"/>
        <v>No</v>
      </c>
      <c r="H24" s="513"/>
      <c r="I24" s="482"/>
      <c r="J24" s="70"/>
      <c r="K24" s="1120">
        <f t="shared" si="4"/>
        <v>0</v>
      </c>
      <c r="L24" s="1125"/>
      <c r="M24" s="396"/>
      <c r="N24" s="593"/>
      <c r="O24" s="354">
        <f t="shared" si="5"/>
        <v>0</v>
      </c>
      <c r="P24" s="355">
        <f>IF(H24="y",(((N24+O24)*Rates!$J$331))/24,((N24+O24)/24))</f>
        <v>0</v>
      </c>
      <c r="Q24" s="355">
        <f t="shared" si="6"/>
        <v>0</v>
      </c>
      <c r="R24" s="101">
        <f>IF(H24="Y",Rates!$I$362*Q24,Q24)</f>
        <v>0</v>
      </c>
      <c r="S24" s="101">
        <f t="shared" si="7"/>
        <v>0</v>
      </c>
      <c r="T24" s="66">
        <f t="shared" si="8"/>
        <v>0</v>
      </c>
      <c r="U24" s="63"/>
      <c r="V24" s="462"/>
      <c r="W24" s="1120">
        <f t="shared" si="9"/>
        <v>0</v>
      </c>
      <c r="X24" s="1125"/>
      <c r="Y24" s="396"/>
      <c r="Z24" s="481"/>
      <c r="AA24" s="480">
        <f>IF(Z24="",0,ROUND(VLOOKUP(Z24,Compsch!$A$10:$B$509,2),2))</f>
        <v>0</v>
      </c>
      <c r="AB24" s="480">
        <f t="shared" si="0"/>
        <v>0</v>
      </c>
      <c r="AC24" s="480">
        <f t="shared" si="10"/>
        <v>0</v>
      </c>
      <c r="AD24" s="1112" t="str">
        <f t="shared" si="15"/>
        <v/>
      </c>
      <c r="AE24" s="459">
        <f>IF(AD24="",0,ROUND((VLOOKUP(Z24,Compsch!$A$11:$I$390,9)-(VLOOKUP(Z24,Compsch!$A$11:$I$390,7)))*(VLOOKUP(AD24,MeritSch!$A$5:$B$370,2)),0))</f>
        <v>0</v>
      </c>
      <c r="AF24" s="480">
        <f t="shared" si="2"/>
        <v>0</v>
      </c>
      <c r="AG24" s="605">
        <f t="shared" si="11"/>
        <v>0</v>
      </c>
      <c r="AH24" s="373">
        <f>IF(H24="Y",((((AA24+AB24+AG24)*W24)*Rates!$I$379))/24,(((AA24+AB24+AG24)*W24)/24))</f>
        <v>0</v>
      </c>
      <c r="AI24" s="464">
        <f t="shared" si="12"/>
        <v>0</v>
      </c>
      <c r="AJ24" s="465"/>
      <c r="AK24" s="479">
        <f>IF(H24="Y",(AI24*Rates!$I$379+AJ24),(AI24+AJ24))</f>
        <v>0</v>
      </c>
      <c r="AL24" s="426">
        <f t="shared" si="13"/>
        <v>0</v>
      </c>
      <c r="AM24" s="463">
        <f t="shared" si="3"/>
        <v>0</v>
      </c>
      <c r="AN24" s="37">
        <v>15</v>
      </c>
      <c r="AO24" s="1096"/>
      <c r="AP24" s="1097"/>
      <c r="AQ24" s="387"/>
      <c r="AR24" s="1070"/>
      <c r="AS24" s="387"/>
      <c r="AT24" s="1097"/>
      <c r="AU24" s="428"/>
      <c r="AV24" s="622"/>
      <c r="AW24" s="623"/>
    </row>
    <row r="25" spans="1:49" ht="27" hidden="1" customHeight="1" x14ac:dyDescent="0.2">
      <c r="A25" s="37">
        <v>16</v>
      </c>
      <c r="B25" s="509"/>
      <c r="C25" s="510"/>
      <c r="D25" s="511"/>
      <c r="E25" s="512"/>
      <c r="F25" s="1115"/>
      <c r="G25" s="1110" t="str">
        <f t="shared" si="14"/>
        <v>No</v>
      </c>
      <c r="H25" s="513"/>
      <c r="I25" s="482"/>
      <c r="J25" s="70"/>
      <c r="K25" s="1120">
        <f t="shared" si="4"/>
        <v>0</v>
      </c>
      <c r="L25" s="1125"/>
      <c r="M25" s="396"/>
      <c r="N25" s="593"/>
      <c r="O25" s="354">
        <f t="shared" si="5"/>
        <v>0</v>
      </c>
      <c r="P25" s="355">
        <f>IF(H25="y",(((N25+O25)*Rates!$J$331))/24,((N25+O25)/24))</f>
        <v>0</v>
      </c>
      <c r="Q25" s="355">
        <f t="shared" si="6"/>
        <v>0</v>
      </c>
      <c r="R25" s="101">
        <f>IF(H25="Y",Rates!$I$362*Q25,Q25)</f>
        <v>0</v>
      </c>
      <c r="S25" s="101">
        <f t="shared" si="7"/>
        <v>0</v>
      </c>
      <c r="T25" s="66">
        <f t="shared" si="8"/>
        <v>0</v>
      </c>
      <c r="U25" s="63"/>
      <c r="V25" s="462"/>
      <c r="W25" s="1120">
        <f t="shared" si="9"/>
        <v>0</v>
      </c>
      <c r="X25" s="1125"/>
      <c r="Y25" s="396"/>
      <c r="Z25" s="481"/>
      <c r="AA25" s="480">
        <f>IF(Z25="",0,ROUND(VLOOKUP(Z25,Compsch!$A$10:$B$509,2),2))</f>
        <v>0</v>
      </c>
      <c r="AB25" s="480">
        <f t="shared" si="0"/>
        <v>0</v>
      </c>
      <c r="AC25" s="480">
        <f t="shared" si="10"/>
        <v>0</v>
      </c>
      <c r="AD25" s="1112" t="str">
        <f t="shared" si="15"/>
        <v/>
      </c>
      <c r="AE25" s="459">
        <f>IF(AD25="",0,ROUND((VLOOKUP(Z25,Compsch!$A$11:$I$390,9)-(VLOOKUP(Z25,Compsch!$A$11:$I$390,7)))*(VLOOKUP(AD25,MeritSch!$A$5:$B$370,2)),0))</f>
        <v>0</v>
      </c>
      <c r="AF25" s="480">
        <f t="shared" si="2"/>
        <v>0</v>
      </c>
      <c r="AG25" s="605">
        <f t="shared" si="11"/>
        <v>0</v>
      </c>
      <c r="AH25" s="373">
        <f>IF(H25="Y",((((AA25+AB25+AG25)*W25)*Rates!$I$379))/24,(((AA25+AB25+AG25)*W25)/24))</f>
        <v>0</v>
      </c>
      <c r="AI25" s="464">
        <f t="shared" si="12"/>
        <v>0</v>
      </c>
      <c r="AJ25" s="465"/>
      <c r="AK25" s="479">
        <f>IF(H25="Y",(AI25*Rates!$I$379+AJ25),(AI25+AJ25))</f>
        <v>0</v>
      </c>
      <c r="AL25" s="426">
        <f t="shared" si="13"/>
        <v>0</v>
      </c>
      <c r="AM25" s="463">
        <f t="shared" si="3"/>
        <v>0</v>
      </c>
      <c r="AN25" s="37">
        <v>16</v>
      </c>
      <c r="AO25" s="1096"/>
      <c r="AP25" s="1097"/>
      <c r="AQ25" s="387"/>
      <c r="AR25" s="1070"/>
      <c r="AS25" s="387"/>
      <c r="AT25" s="1097"/>
      <c r="AU25" s="428"/>
      <c r="AV25" s="622"/>
      <c r="AW25" s="623"/>
    </row>
    <row r="26" spans="1:49" ht="27" hidden="1" customHeight="1" x14ac:dyDescent="0.2">
      <c r="A26" s="37">
        <v>17</v>
      </c>
      <c r="B26" s="509"/>
      <c r="C26" s="510"/>
      <c r="D26" s="511"/>
      <c r="E26" s="512"/>
      <c r="F26" s="1115"/>
      <c r="G26" s="1110" t="str">
        <f t="shared" si="14"/>
        <v>No</v>
      </c>
      <c r="H26" s="513"/>
      <c r="I26" s="482"/>
      <c r="J26" s="70"/>
      <c r="K26" s="1120">
        <f t="shared" si="4"/>
        <v>0</v>
      </c>
      <c r="L26" s="1125"/>
      <c r="M26" s="396"/>
      <c r="N26" s="593"/>
      <c r="O26" s="354">
        <f t="shared" si="5"/>
        <v>0</v>
      </c>
      <c r="P26" s="355">
        <f>IF(H26="y",(((N26+O26)*Rates!$J$331))/24,((N26+O26)/24))</f>
        <v>0</v>
      </c>
      <c r="Q26" s="355">
        <f t="shared" si="6"/>
        <v>0</v>
      </c>
      <c r="R26" s="101">
        <f>IF(H26="Y",Rates!$I$362*Q26,Q26)</f>
        <v>0</v>
      </c>
      <c r="S26" s="101">
        <f t="shared" si="7"/>
        <v>0</v>
      </c>
      <c r="T26" s="66">
        <f t="shared" si="8"/>
        <v>0</v>
      </c>
      <c r="U26" s="63"/>
      <c r="V26" s="462"/>
      <c r="W26" s="1120">
        <f t="shared" si="9"/>
        <v>0</v>
      </c>
      <c r="X26" s="1125"/>
      <c r="Y26" s="396"/>
      <c r="Z26" s="481"/>
      <c r="AA26" s="480">
        <f>IF(Z26="",0,ROUND(VLOOKUP(Z26,Compsch!$A$10:$B$509,2),2))</f>
        <v>0</v>
      </c>
      <c r="AB26" s="480">
        <f t="shared" si="0"/>
        <v>0</v>
      </c>
      <c r="AC26" s="480">
        <f t="shared" si="10"/>
        <v>0</v>
      </c>
      <c r="AD26" s="1112" t="str">
        <f t="shared" si="15"/>
        <v/>
      </c>
      <c r="AE26" s="459">
        <f>IF(AD26="",0,ROUND((VLOOKUP(Z26,Compsch!$A$11:$I$390,9)-(VLOOKUP(Z26,Compsch!$A$11:$I$390,7)))*(VLOOKUP(AD26,MeritSch!$A$5:$B$370,2)),0))</f>
        <v>0</v>
      </c>
      <c r="AF26" s="480">
        <f t="shared" si="2"/>
        <v>0</v>
      </c>
      <c r="AG26" s="605">
        <f t="shared" si="11"/>
        <v>0</v>
      </c>
      <c r="AH26" s="373">
        <f>IF(H26="Y",((((AA26+AB26+AG26)*W26)*Rates!$I$379))/24,(((AA26+AB26+AG26)*W26)/24))</f>
        <v>0</v>
      </c>
      <c r="AI26" s="464">
        <f t="shared" si="12"/>
        <v>0</v>
      </c>
      <c r="AJ26" s="465"/>
      <c r="AK26" s="479">
        <f>IF(H26="Y",(AI26*Rates!$I$379+AJ26),(AI26+AJ26))</f>
        <v>0</v>
      </c>
      <c r="AL26" s="426">
        <f t="shared" si="13"/>
        <v>0</v>
      </c>
      <c r="AM26" s="463">
        <f t="shared" si="3"/>
        <v>0</v>
      </c>
      <c r="AN26" s="37">
        <v>17</v>
      </c>
      <c r="AO26" s="1096"/>
      <c r="AP26" s="1097"/>
      <c r="AQ26" s="387"/>
      <c r="AR26" s="1070"/>
      <c r="AS26" s="387"/>
      <c r="AT26" s="1097"/>
      <c r="AU26" s="428"/>
      <c r="AV26" s="622"/>
      <c r="AW26" s="623"/>
    </row>
    <row r="27" spans="1:49" ht="27" hidden="1" customHeight="1" x14ac:dyDescent="0.2">
      <c r="A27" s="37">
        <v>18</v>
      </c>
      <c r="B27" s="509"/>
      <c r="C27" s="510"/>
      <c r="D27" s="511"/>
      <c r="E27" s="512"/>
      <c r="F27" s="1115"/>
      <c r="G27" s="1110" t="str">
        <f t="shared" si="14"/>
        <v>No</v>
      </c>
      <c r="H27" s="513"/>
      <c r="I27" s="482"/>
      <c r="J27" s="70"/>
      <c r="K27" s="1120">
        <f t="shared" si="4"/>
        <v>0</v>
      </c>
      <c r="L27" s="1125"/>
      <c r="M27" s="396"/>
      <c r="N27" s="593"/>
      <c r="O27" s="354">
        <f t="shared" si="5"/>
        <v>0</v>
      </c>
      <c r="P27" s="355">
        <f>IF(H27="y",(((N27+O27)*Rates!$J$331))/24,((N27+O27)/24))</f>
        <v>0</v>
      </c>
      <c r="Q27" s="355">
        <f t="shared" si="6"/>
        <v>0</v>
      </c>
      <c r="R27" s="101">
        <f>IF(H27="Y",Rates!$I$362*Q27,Q27)</f>
        <v>0</v>
      </c>
      <c r="S27" s="101">
        <f t="shared" si="7"/>
        <v>0</v>
      </c>
      <c r="T27" s="66">
        <f t="shared" si="8"/>
        <v>0</v>
      </c>
      <c r="U27" s="63"/>
      <c r="V27" s="462"/>
      <c r="W27" s="1120">
        <f t="shared" si="9"/>
        <v>0</v>
      </c>
      <c r="X27" s="1125"/>
      <c r="Y27" s="396"/>
      <c r="Z27" s="481"/>
      <c r="AA27" s="480">
        <f>IF(Z27="",0,ROUND(VLOOKUP(Z27,Compsch!$A$10:$B$509,2),2))</f>
        <v>0</v>
      </c>
      <c r="AB27" s="480">
        <f t="shared" si="0"/>
        <v>0</v>
      </c>
      <c r="AC27" s="480">
        <f t="shared" si="10"/>
        <v>0</v>
      </c>
      <c r="AD27" s="1112" t="str">
        <f t="shared" si="15"/>
        <v/>
      </c>
      <c r="AE27" s="459">
        <f>IF(AD27="",0,ROUND((VLOOKUP(Z27,Compsch!$A$11:$I$390,9)-(VLOOKUP(Z27,Compsch!$A$11:$I$390,7)))*(VLOOKUP(AD27,MeritSch!$A$5:$B$370,2)),0))</f>
        <v>0</v>
      </c>
      <c r="AF27" s="480">
        <f t="shared" si="2"/>
        <v>0</v>
      </c>
      <c r="AG27" s="605">
        <f t="shared" si="11"/>
        <v>0</v>
      </c>
      <c r="AH27" s="373">
        <f>IF(H27="Y",((((AA27+AB27+AG27)*W27)*Rates!$I$379))/24,(((AA27+AB27+AG27)*W27)/24))</f>
        <v>0</v>
      </c>
      <c r="AI27" s="464">
        <f t="shared" si="12"/>
        <v>0</v>
      </c>
      <c r="AJ27" s="465"/>
      <c r="AK27" s="479">
        <f>IF(H27="Y",(AI27*Rates!$I$379+AJ27),(AI27+AJ27))</f>
        <v>0</v>
      </c>
      <c r="AL27" s="426">
        <f t="shared" si="13"/>
        <v>0</v>
      </c>
      <c r="AM27" s="463">
        <f t="shared" si="3"/>
        <v>0</v>
      </c>
      <c r="AN27" s="37">
        <v>18</v>
      </c>
      <c r="AO27" s="1096"/>
      <c r="AP27" s="1097"/>
      <c r="AQ27" s="387"/>
      <c r="AR27" s="1070"/>
      <c r="AS27" s="387"/>
      <c r="AT27" s="1097"/>
      <c r="AU27" s="428"/>
      <c r="AV27" s="622"/>
      <c r="AW27" s="623"/>
    </row>
    <row r="28" spans="1:49" ht="27" hidden="1" customHeight="1" x14ac:dyDescent="0.2">
      <c r="A28" s="37">
        <v>19</v>
      </c>
      <c r="B28" s="509"/>
      <c r="C28" s="510"/>
      <c r="D28" s="511"/>
      <c r="E28" s="512"/>
      <c r="F28" s="1115"/>
      <c r="G28" s="1110" t="str">
        <f t="shared" si="14"/>
        <v>No</v>
      </c>
      <c r="H28" s="513"/>
      <c r="I28" s="482"/>
      <c r="J28" s="70"/>
      <c r="K28" s="1120">
        <f t="shared" si="4"/>
        <v>0</v>
      </c>
      <c r="L28" s="1125"/>
      <c r="M28" s="396"/>
      <c r="N28" s="593"/>
      <c r="O28" s="354">
        <f t="shared" si="5"/>
        <v>0</v>
      </c>
      <c r="P28" s="355">
        <f>IF(H28="y",(((N28+O28)*Rates!$J$331))/24,((N28+O28)/24))</f>
        <v>0</v>
      </c>
      <c r="Q28" s="355">
        <f t="shared" si="6"/>
        <v>0</v>
      </c>
      <c r="R28" s="101">
        <f>IF(H28="Y",Rates!$I$362*Q28,Q28)</f>
        <v>0</v>
      </c>
      <c r="S28" s="101">
        <f t="shared" si="7"/>
        <v>0</v>
      </c>
      <c r="T28" s="66">
        <f t="shared" si="8"/>
        <v>0</v>
      </c>
      <c r="U28" s="63"/>
      <c r="V28" s="462"/>
      <c r="W28" s="1120">
        <f t="shared" si="9"/>
        <v>0</v>
      </c>
      <c r="X28" s="1125"/>
      <c r="Y28" s="396"/>
      <c r="Z28" s="481"/>
      <c r="AA28" s="480">
        <f>IF(Z28="",0,ROUND(VLOOKUP(Z28,Compsch!$A$10:$B$509,2),2))</f>
        <v>0</v>
      </c>
      <c r="AB28" s="480">
        <f t="shared" si="0"/>
        <v>0</v>
      </c>
      <c r="AC28" s="480">
        <f t="shared" si="10"/>
        <v>0</v>
      </c>
      <c r="AD28" s="1112" t="str">
        <f t="shared" si="15"/>
        <v/>
      </c>
      <c r="AE28" s="459">
        <f>IF(AD28="",0,ROUND((VLOOKUP(Z28,Compsch!$A$11:$I$390,9)-(VLOOKUP(Z28,Compsch!$A$11:$I$390,7)))*(VLOOKUP(AD28,MeritSch!$A$5:$B$370,2)),0))</f>
        <v>0</v>
      </c>
      <c r="AF28" s="480">
        <f t="shared" si="2"/>
        <v>0</v>
      </c>
      <c r="AG28" s="605">
        <f t="shared" si="11"/>
        <v>0</v>
      </c>
      <c r="AH28" s="373">
        <f>IF(H28="Y",((((AA28+AB28+AG28)*W28)*Rates!$I$379))/24,(((AA28+AB28+AG28)*W28)/24))</f>
        <v>0</v>
      </c>
      <c r="AI28" s="464">
        <f t="shared" si="12"/>
        <v>0</v>
      </c>
      <c r="AJ28" s="465"/>
      <c r="AK28" s="479">
        <f>IF(H28="Y",(AI28*Rates!$I$379+AJ28),(AI28+AJ28))</f>
        <v>0</v>
      </c>
      <c r="AL28" s="426">
        <f t="shared" si="13"/>
        <v>0</v>
      </c>
      <c r="AM28" s="463">
        <f t="shared" si="3"/>
        <v>0</v>
      </c>
      <c r="AN28" s="37">
        <v>19</v>
      </c>
      <c r="AO28" s="1096"/>
      <c r="AP28" s="1097"/>
      <c r="AQ28" s="387"/>
      <c r="AR28" s="1070"/>
      <c r="AS28" s="387"/>
      <c r="AT28" s="1097"/>
      <c r="AU28" s="428"/>
      <c r="AV28" s="622"/>
      <c r="AW28" s="623"/>
    </row>
    <row r="29" spans="1:49" ht="27" hidden="1" customHeight="1" x14ac:dyDescent="0.2">
      <c r="A29" s="37">
        <v>20</v>
      </c>
      <c r="B29" s="509"/>
      <c r="C29" s="510"/>
      <c r="D29" s="511"/>
      <c r="E29" s="512"/>
      <c r="F29" s="1115"/>
      <c r="G29" s="1110" t="str">
        <f t="shared" si="14"/>
        <v>No</v>
      </c>
      <c r="H29" s="513"/>
      <c r="I29" s="482"/>
      <c r="J29" s="70"/>
      <c r="K29" s="1120">
        <f t="shared" si="4"/>
        <v>0</v>
      </c>
      <c r="L29" s="1125"/>
      <c r="M29" s="396"/>
      <c r="N29" s="593"/>
      <c r="O29" s="354">
        <f t="shared" si="5"/>
        <v>0</v>
      </c>
      <c r="P29" s="355">
        <f>IF(H29="y",(((N29+O29)*Rates!$J$331))/24,((N29+O29)/24))</f>
        <v>0</v>
      </c>
      <c r="Q29" s="355">
        <f t="shared" si="6"/>
        <v>0</v>
      </c>
      <c r="R29" s="101">
        <f>IF(H29="Y",Rates!$I$362*Q29,Q29)</f>
        <v>0</v>
      </c>
      <c r="S29" s="101">
        <f t="shared" si="7"/>
        <v>0</v>
      </c>
      <c r="T29" s="66">
        <f t="shared" si="8"/>
        <v>0</v>
      </c>
      <c r="U29" s="63"/>
      <c r="V29" s="462"/>
      <c r="W29" s="1120">
        <f t="shared" si="9"/>
        <v>0</v>
      </c>
      <c r="X29" s="1125"/>
      <c r="Y29" s="396"/>
      <c r="Z29" s="481"/>
      <c r="AA29" s="480">
        <f>IF(Z29="",0,ROUND(VLOOKUP(Z29,Compsch!$A$10:$B$509,2),2))</f>
        <v>0</v>
      </c>
      <c r="AB29" s="480">
        <f t="shared" si="0"/>
        <v>0</v>
      </c>
      <c r="AC29" s="480">
        <f t="shared" si="10"/>
        <v>0</v>
      </c>
      <c r="AD29" s="1112" t="str">
        <f t="shared" si="15"/>
        <v/>
      </c>
      <c r="AE29" s="459">
        <f>IF(AD29="",0,ROUND((VLOOKUP(Z29,Compsch!$A$11:$I$390,9)-(VLOOKUP(Z29,Compsch!$A$11:$I$390,7)))*(VLOOKUP(AD29,MeritSch!$A$5:$B$370,2)),0))</f>
        <v>0</v>
      </c>
      <c r="AF29" s="480">
        <f t="shared" si="2"/>
        <v>0</v>
      </c>
      <c r="AG29" s="605">
        <f t="shared" si="11"/>
        <v>0</v>
      </c>
      <c r="AH29" s="373">
        <f>IF(H29="Y",((((AA29+AB29+AG29)*W29)*Rates!$I$379))/24,(((AA29+AB29+AG29)*W29)/24))</f>
        <v>0</v>
      </c>
      <c r="AI29" s="464">
        <f t="shared" si="12"/>
        <v>0</v>
      </c>
      <c r="AJ29" s="465"/>
      <c r="AK29" s="479">
        <f>IF(H29="Y",(AI29*Rates!$I$379+AJ29),(AI29+AJ29))</f>
        <v>0</v>
      </c>
      <c r="AL29" s="426">
        <f t="shared" si="13"/>
        <v>0</v>
      </c>
      <c r="AM29" s="463">
        <f t="shared" si="3"/>
        <v>0</v>
      </c>
      <c r="AN29" s="37">
        <v>20</v>
      </c>
      <c r="AO29" s="1096"/>
      <c r="AP29" s="1097"/>
      <c r="AQ29" s="387"/>
      <c r="AR29" s="1070"/>
      <c r="AS29" s="387"/>
      <c r="AT29" s="1097"/>
      <c r="AU29" s="428"/>
      <c r="AV29" s="622"/>
      <c r="AW29" s="623"/>
    </row>
    <row r="30" spans="1:49" ht="27" hidden="1" customHeight="1" x14ac:dyDescent="0.2">
      <c r="A30" s="37">
        <v>21</v>
      </c>
      <c r="B30" s="509"/>
      <c r="C30" s="510"/>
      <c r="D30" s="511"/>
      <c r="E30" s="512"/>
      <c r="F30" s="1115"/>
      <c r="G30" s="1110" t="str">
        <f t="shared" si="14"/>
        <v>No</v>
      </c>
      <c r="H30" s="513"/>
      <c r="I30" s="482"/>
      <c r="J30" s="70"/>
      <c r="K30" s="1120">
        <f t="shared" si="4"/>
        <v>0</v>
      </c>
      <c r="L30" s="1125"/>
      <c r="M30" s="396"/>
      <c r="N30" s="593"/>
      <c r="O30" s="354">
        <f t="shared" si="5"/>
        <v>0</v>
      </c>
      <c r="P30" s="355">
        <f>IF(H30="y",(((N30+O30)*Rates!$J$331))/24,((N30+O30)/24))</f>
        <v>0</v>
      </c>
      <c r="Q30" s="355">
        <f t="shared" si="6"/>
        <v>0</v>
      </c>
      <c r="R30" s="101">
        <f>IF(H30="Y",Rates!$I$362*Q30,Q30)</f>
        <v>0</v>
      </c>
      <c r="S30" s="101">
        <f t="shared" si="7"/>
        <v>0</v>
      </c>
      <c r="T30" s="66">
        <f t="shared" si="8"/>
        <v>0</v>
      </c>
      <c r="U30" s="63"/>
      <c r="V30" s="462"/>
      <c r="W30" s="1120">
        <f t="shared" si="9"/>
        <v>0</v>
      </c>
      <c r="X30" s="1125"/>
      <c r="Y30" s="396"/>
      <c r="Z30" s="481"/>
      <c r="AA30" s="480">
        <f>IF(Z30="",0,ROUND(VLOOKUP(Z30,Compsch!$A$10:$B$509,2),2))</f>
        <v>0</v>
      </c>
      <c r="AB30" s="480">
        <f t="shared" si="0"/>
        <v>0</v>
      </c>
      <c r="AC30" s="480">
        <f t="shared" si="10"/>
        <v>0</v>
      </c>
      <c r="AD30" s="1112" t="str">
        <f t="shared" si="15"/>
        <v/>
      </c>
      <c r="AE30" s="459">
        <f>IF(AD30="",0,ROUND((VLOOKUP(Z30,Compsch!$A$11:$I$390,9)-(VLOOKUP(Z30,Compsch!$A$11:$I$390,7)))*(VLOOKUP(AD30,MeritSch!$A$5:$B$370,2)),0))</f>
        <v>0</v>
      </c>
      <c r="AF30" s="480">
        <f t="shared" si="2"/>
        <v>0</v>
      </c>
      <c r="AG30" s="605">
        <f t="shared" si="11"/>
        <v>0</v>
      </c>
      <c r="AH30" s="373">
        <f>IF(H30="Y",((((AA30+AB30+AG30)*W30)*Rates!$I$379))/24,(((AA30+AB30+AG30)*W30)/24))</f>
        <v>0</v>
      </c>
      <c r="AI30" s="464">
        <f t="shared" si="12"/>
        <v>0</v>
      </c>
      <c r="AJ30" s="465"/>
      <c r="AK30" s="479">
        <f>IF(H30="Y",(AI30*Rates!$I$379+AJ30),(AI30+AJ30))</f>
        <v>0</v>
      </c>
      <c r="AL30" s="426">
        <f t="shared" si="13"/>
        <v>0</v>
      </c>
      <c r="AM30" s="463">
        <f t="shared" si="3"/>
        <v>0</v>
      </c>
      <c r="AN30" s="37">
        <v>21</v>
      </c>
      <c r="AO30" s="1096"/>
      <c r="AP30" s="1097"/>
      <c r="AQ30" s="387"/>
      <c r="AR30" s="1070"/>
      <c r="AS30" s="387"/>
      <c r="AT30" s="1097"/>
      <c r="AU30" s="428"/>
      <c r="AV30" s="622"/>
      <c r="AW30" s="623"/>
    </row>
    <row r="31" spans="1:49" ht="27" hidden="1" customHeight="1" x14ac:dyDescent="0.2">
      <c r="A31" s="37">
        <v>22</v>
      </c>
      <c r="B31" s="509"/>
      <c r="C31" s="510"/>
      <c r="D31" s="511"/>
      <c r="E31" s="512"/>
      <c r="F31" s="1115"/>
      <c r="G31" s="1110" t="str">
        <f t="shared" si="14"/>
        <v>No</v>
      </c>
      <c r="H31" s="513"/>
      <c r="I31" s="482"/>
      <c r="J31" s="70"/>
      <c r="K31" s="1120">
        <f t="shared" si="4"/>
        <v>0</v>
      </c>
      <c r="L31" s="1125"/>
      <c r="M31" s="396"/>
      <c r="N31" s="593"/>
      <c r="O31" s="354">
        <f t="shared" si="5"/>
        <v>0</v>
      </c>
      <c r="P31" s="355">
        <f>IF(H31="y",(((N31+O31)*Rates!$J$331))/24,((N31+O31)/24))</f>
        <v>0</v>
      </c>
      <c r="Q31" s="355">
        <f t="shared" si="6"/>
        <v>0</v>
      </c>
      <c r="R31" s="101">
        <f>IF(H31="Y",Rates!$I$362*Q31,Q31)</f>
        <v>0</v>
      </c>
      <c r="S31" s="101">
        <f t="shared" si="7"/>
        <v>0</v>
      </c>
      <c r="T31" s="66">
        <f t="shared" si="8"/>
        <v>0</v>
      </c>
      <c r="U31" s="63"/>
      <c r="V31" s="462"/>
      <c r="W31" s="1120">
        <f t="shared" si="9"/>
        <v>0</v>
      </c>
      <c r="X31" s="1125"/>
      <c r="Y31" s="396"/>
      <c r="Z31" s="481"/>
      <c r="AA31" s="480">
        <f>IF(Z31="",0,ROUND(VLOOKUP(Z31,Compsch!$A$10:$B$509,2),2))</f>
        <v>0</v>
      </c>
      <c r="AB31" s="480">
        <f t="shared" si="0"/>
        <v>0</v>
      </c>
      <c r="AC31" s="480">
        <f t="shared" si="10"/>
        <v>0</v>
      </c>
      <c r="AD31" s="1112" t="str">
        <f t="shared" si="15"/>
        <v/>
      </c>
      <c r="AE31" s="459">
        <f>IF(AD31="",0,ROUND((VLOOKUP(Z31,Compsch!$A$11:$I$390,9)-(VLOOKUP(Z31,Compsch!$A$11:$I$390,7)))*(VLOOKUP(AD31,MeritSch!$A$5:$B$370,2)),0))</f>
        <v>0</v>
      </c>
      <c r="AF31" s="480">
        <f t="shared" si="2"/>
        <v>0</v>
      </c>
      <c r="AG31" s="605">
        <f t="shared" si="11"/>
        <v>0</v>
      </c>
      <c r="AH31" s="373">
        <f>IF(H31="Y",((((AA31+AB31+AG31)*W31)*Rates!$I$379))/24,(((AA31+AB31+AG31)*W31)/24))</f>
        <v>0</v>
      </c>
      <c r="AI31" s="464">
        <f t="shared" si="12"/>
        <v>0</v>
      </c>
      <c r="AJ31" s="465"/>
      <c r="AK31" s="479">
        <f>IF(H31="Y",(AI31*Rates!$I$379+AJ31),(AI31+AJ31))</f>
        <v>0</v>
      </c>
      <c r="AL31" s="426">
        <f t="shared" si="13"/>
        <v>0</v>
      </c>
      <c r="AM31" s="463">
        <f t="shared" si="3"/>
        <v>0</v>
      </c>
      <c r="AN31" s="37">
        <v>22</v>
      </c>
      <c r="AO31" s="1096"/>
      <c r="AP31" s="1097"/>
      <c r="AQ31" s="387"/>
      <c r="AR31" s="1070"/>
      <c r="AS31" s="387"/>
      <c r="AT31" s="1097"/>
      <c r="AU31" s="428"/>
      <c r="AV31" s="622"/>
      <c r="AW31" s="623"/>
    </row>
    <row r="32" spans="1:49" ht="27" hidden="1" customHeight="1" x14ac:dyDescent="0.2">
      <c r="A32" s="37">
        <v>23</v>
      </c>
      <c r="B32" s="509"/>
      <c r="C32" s="510"/>
      <c r="D32" s="511"/>
      <c r="E32" s="512"/>
      <c r="F32" s="1115"/>
      <c r="G32" s="1110" t="str">
        <f t="shared" si="14"/>
        <v>No</v>
      </c>
      <c r="H32" s="513"/>
      <c r="I32" s="482"/>
      <c r="J32" s="70"/>
      <c r="K32" s="1120">
        <f t="shared" si="4"/>
        <v>0</v>
      </c>
      <c r="L32" s="1125"/>
      <c r="M32" s="396"/>
      <c r="N32" s="593"/>
      <c r="O32" s="354">
        <f t="shared" si="5"/>
        <v>0</v>
      </c>
      <c r="P32" s="355">
        <f>IF(H32="y",(((N32+O32)*Rates!$J$331))/24,((N32+O32)/24))</f>
        <v>0</v>
      </c>
      <c r="Q32" s="355">
        <f t="shared" si="6"/>
        <v>0</v>
      </c>
      <c r="R32" s="101">
        <f>IF(H32="Y",Rates!$I$362*Q32,Q32)</f>
        <v>0</v>
      </c>
      <c r="S32" s="101">
        <f t="shared" si="7"/>
        <v>0</v>
      </c>
      <c r="T32" s="66">
        <f t="shared" si="8"/>
        <v>0</v>
      </c>
      <c r="U32" s="63"/>
      <c r="V32" s="462"/>
      <c r="W32" s="1120">
        <f t="shared" si="9"/>
        <v>0</v>
      </c>
      <c r="X32" s="1125"/>
      <c r="Y32" s="396"/>
      <c r="Z32" s="481"/>
      <c r="AA32" s="480">
        <f>IF(Z32="",0,ROUND(VLOOKUP(Z32,Compsch!$A$10:$B$509,2),2))</f>
        <v>0</v>
      </c>
      <c r="AB32" s="480">
        <f t="shared" si="0"/>
        <v>0</v>
      </c>
      <c r="AC32" s="480">
        <f t="shared" si="10"/>
        <v>0</v>
      </c>
      <c r="AD32" s="1112" t="str">
        <f t="shared" si="15"/>
        <v/>
      </c>
      <c r="AE32" s="459">
        <f>IF(AD32="",0,ROUND((VLOOKUP(Z32,Compsch!$A$11:$I$390,9)-(VLOOKUP(Z32,Compsch!$A$11:$I$390,7)))*(VLOOKUP(AD32,MeritSch!$A$5:$B$370,2)),0))</f>
        <v>0</v>
      </c>
      <c r="AF32" s="480">
        <f t="shared" si="2"/>
        <v>0</v>
      </c>
      <c r="AG32" s="605">
        <f t="shared" si="11"/>
        <v>0</v>
      </c>
      <c r="AH32" s="373">
        <f>IF(H32="Y",((((AA32+AB32+AG32)*W32)*Rates!$I$379))/24,(((AA32+AB32+AG32)*W32)/24))</f>
        <v>0</v>
      </c>
      <c r="AI32" s="464">
        <f t="shared" si="12"/>
        <v>0</v>
      </c>
      <c r="AJ32" s="465"/>
      <c r="AK32" s="479">
        <f>IF(H32="Y",(AI32*Rates!$I$379+AJ32),(AI32+AJ32))</f>
        <v>0</v>
      </c>
      <c r="AL32" s="426">
        <f t="shared" si="13"/>
        <v>0</v>
      </c>
      <c r="AM32" s="463">
        <f t="shared" si="3"/>
        <v>0</v>
      </c>
      <c r="AN32" s="37">
        <v>23</v>
      </c>
      <c r="AO32" s="1096"/>
      <c r="AP32" s="1097"/>
      <c r="AQ32" s="387"/>
      <c r="AR32" s="1070"/>
      <c r="AS32" s="387"/>
      <c r="AT32" s="1097"/>
      <c r="AU32" s="428"/>
      <c r="AV32" s="622"/>
      <c r="AW32" s="623"/>
    </row>
    <row r="33" spans="1:49" ht="27" hidden="1" customHeight="1" x14ac:dyDescent="0.2">
      <c r="A33" s="37">
        <v>24</v>
      </c>
      <c r="B33" s="509"/>
      <c r="C33" s="510"/>
      <c r="D33" s="511"/>
      <c r="E33" s="512"/>
      <c r="F33" s="1115"/>
      <c r="G33" s="1110" t="str">
        <f t="shared" si="14"/>
        <v>No</v>
      </c>
      <c r="H33" s="513"/>
      <c r="I33" s="482"/>
      <c r="J33" s="70"/>
      <c r="K33" s="1120">
        <f t="shared" si="4"/>
        <v>0</v>
      </c>
      <c r="L33" s="1125"/>
      <c r="M33" s="396"/>
      <c r="N33" s="593"/>
      <c r="O33" s="354">
        <f t="shared" si="5"/>
        <v>0</v>
      </c>
      <c r="P33" s="355">
        <f>IF(H33="y",(((N33+O33)*Rates!$J$331))/24,((N33+O33)/24))</f>
        <v>0</v>
      </c>
      <c r="Q33" s="355">
        <f t="shared" si="6"/>
        <v>0</v>
      </c>
      <c r="R33" s="101">
        <f>IF(H33="Y",Rates!$I$362*Q33,Q33)</f>
        <v>0</v>
      </c>
      <c r="S33" s="101">
        <f t="shared" si="7"/>
        <v>0</v>
      </c>
      <c r="T33" s="66">
        <f t="shared" si="8"/>
        <v>0</v>
      </c>
      <c r="U33" s="63"/>
      <c r="V33" s="462"/>
      <c r="W33" s="1120">
        <f t="shared" si="9"/>
        <v>0</v>
      </c>
      <c r="X33" s="1125"/>
      <c r="Y33" s="396"/>
      <c r="Z33" s="481"/>
      <c r="AA33" s="480">
        <f>IF(Z33="",0,ROUND(VLOOKUP(Z33,Compsch!$A$10:$B$509,2),2))</f>
        <v>0</v>
      </c>
      <c r="AB33" s="480">
        <f t="shared" si="0"/>
        <v>0</v>
      </c>
      <c r="AC33" s="480">
        <f t="shared" si="10"/>
        <v>0</v>
      </c>
      <c r="AD33" s="1112" t="str">
        <f t="shared" si="15"/>
        <v/>
      </c>
      <c r="AE33" s="459">
        <f>IF(AD33="",0,ROUND((VLOOKUP(Z33,Compsch!$A$11:$I$390,9)-(VLOOKUP(Z33,Compsch!$A$11:$I$390,7)))*(VLOOKUP(AD33,MeritSch!$A$5:$B$370,2)),0))</f>
        <v>0</v>
      </c>
      <c r="AF33" s="480">
        <f t="shared" si="2"/>
        <v>0</v>
      </c>
      <c r="AG33" s="605">
        <f t="shared" si="11"/>
        <v>0</v>
      </c>
      <c r="AH33" s="373">
        <f>IF(H33="Y",((((AA33+AB33+AG33)*W33)*Rates!$I$379))/24,(((AA33+AB33+AG33)*W33)/24))</f>
        <v>0</v>
      </c>
      <c r="AI33" s="464">
        <f t="shared" si="12"/>
        <v>0</v>
      </c>
      <c r="AJ33" s="465"/>
      <c r="AK33" s="479">
        <f>IF(H33="Y",(AI33*Rates!$I$379+AJ33),(AI33+AJ33))</f>
        <v>0</v>
      </c>
      <c r="AL33" s="426">
        <f t="shared" si="13"/>
        <v>0</v>
      </c>
      <c r="AM33" s="463">
        <f t="shared" si="3"/>
        <v>0</v>
      </c>
      <c r="AN33" s="37">
        <v>24</v>
      </c>
      <c r="AO33" s="1096"/>
      <c r="AP33" s="1097"/>
      <c r="AQ33" s="387"/>
      <c r="AR33" s="1070"/>
      <c r="AS33" s="387"/>
      <c r="AT33" s="1097"/>
      <c r="AU33" s="428"/>
      <c r="AV33" s="622"/>
      <c r="AW33" s="623"/>
    </row>
    <row r="34" spans="1:49" ht="27" hidden="1" customHeight="1" x14ac:dyDescent="0.2">
      <c r="A34" s="37">
        <v>25</v>
      </c>
      <c r="B34" s="509"/>
      <c r="C34" s="510"/>
      <c r="D34" s="511"/>
      <c r="E34" s="512"/>
      <c r="F34" s="1115"/>
      <c r="G34" s="1110" t="str">
        <f t="shared" si="14"/>
        <v>No</v>
      </c>
      <c r="H34" s="513"/>
      <c r="I34" s="482"/>
      <c r="J34" s="70"/>
      <c r="K34" s="1120">
        <f t="shared" si="4"/>
        <v>0</v>
      </c>
      <c r="L34" s="1125"/>
      <c r="M34" s="396"/>
      <c r="N34" s="593"/>
      <c r="O34" s="354">
        <f t="shared" si="5"/>
        <v>0</v>
      </c>
      <c r="P34" s="355">
        <f>IF(H34="y",(((N34+O34)*Rates!$J$331))/24,((N34+O34)/24))</f>
        <v>0</v>
      </c>
      <c r="Q34" s="355">
        <f t="shared" si="6"/>
        <v>0</v>
      </c>
      <c r="R34" s="101">
        <f>IF(H34="Y",Rates!$I$362*Q34,Q34)</f>
        <v>0</v>
      </c>
      <c r="S34" s="101">
        <f t="shared" si="7"/>
        <v>0</v>
      </c>
      <c r="T34" s="66">
        <f t="shared" si="8"/>
        <v>0</v>
      </c>
      <c r="U34" s="63"/>
      <c r="V34" s="462"/>
      <c r="W34" s="1120">
        <f t="shared" si="9"/>
        <v>0</v>
      </c>
      <c r="X34" s="1125"/>
      <c r="Y34" s="396"/>
      <c r="Z34" s="481"/>
      <c r="AA34" s="480">
        <f>IF(Z34="",0,ROUND(VLOOKUP(Z34,Compsch!$A$10:$B$509,2),2))</f>
        <v>0</v>
      </c>
      <c r="AB34" s="480">
        <f t="shared" si="0"/>
        <v>0</v>
      </c>
      <c r="AC34" s="480">
        <f t="shared" si="10"/>
        <v>0</v>
      </c>
      <c r="AD34" s="1112" t="str">
        <f t="shared" si="15"/>
        <v/>
      </c>
      <c r="AE34" s="459">
        <f>IF(AD34="",0,ROUND((VLOOKUP(Z34,Compsch!$A$11:$I$390,9)-(VLOOKUP(Z34,Compsch!$A$11:$I$390,7)))*(VLOOKUP(AD34,MeritSch!$A$5:$B$370,2)),0))</f>
        <v>0</v>
      </c>
      <c r="AF34" s="480">
        <f t="shared" si="2"/>
        <v>0</v>
      </c>
      <c r="AG34" s="605">
        <f t="shared" si="11"/>
        <v>0</v>
      </c>
      <c r="AH34" s="373">
        <f>IF(H34="Y",((((AA34+AB34+AG34)*W34)*Rates!$I$379))/24,(((AA34+AB34+AG34)*W34)/24))</f>
        <v>0</v>
      </c>
      <c r="AI34" s="464">
        <f t="shared" si="12"/>
        <v>0</v>
      </c>
      <c r="AJ34" s="465"/>
      <c r="AK34" s="479">
        <f>IF(H34="Y",(AI34*Rates!$I$379+AJ34),(AI34+AJ34))</f>
        <v>0</v>
      </c>
      <c r="AL34" s="426">
        <f t="shared" si="13"/>
        <v>0</v>
      </c>
      <c r="AM34" s="463">
        <f t="shared" si="3"/>
        <v>0</v>
      </c>
      <c r="AN34" s="37">
        <v>25</v>
      </c>
      <c r="AO34" s="1096"/>
      <c r="AP34" s="1097"/>
      <c r="AQ34" s="387"/>
      <c r="AR34" s="1070"/>
      <c r="AS34" s="387"/>
      <c r="AT34" s="1097"/>
      <c r="AU34" s="428"/>
      <c r="AV34" s="622"/>
      <c r="AW34" s="623"/>
    </row>
    <row r="35" spans="1:49" ht="27" hidden="1" customHeight="1" x14ac:dyDescent="0.2">
      <c r="A35" s="37">
        <v>26</v>
      </c>
      <c r="B35" s="509"/>
      <c r="C35" s="510"/>
      <c r="D35" s="511"/>
      <c r="E35" s="512"/>
      <c r="F35" s="1115"/>
      <c r="G35" s="1110" t="str">
        <f t="shared" si="14"/>
        <v>No</v>
      </c>
      <c r="H35" s="513"/>
      <c r="I35" s="482"/>
      <c r="J35" s="70"/>
      <c r="K35" s="1120">
        <f t="shared" si="4"/>
        <v>0</v>
      </c>
      <c r="L35" s="1125"/>
      <c r="M35" s="396"/>
      <c r="N35" s="593"/>
      <c r="O35" s="354">
        <f t="shared" si="5"/>
        <v>0</v>
      </c>
      <c r="P35" s="355">
        <f>IF(H35="y",(((N35+O35)*Rates!$J$331))/24,((N35+O35)/24))</f>
        <v>0</v>
      </c>
      <c r="Q35" s="355">
        <f t="shared" si="6"/>
        <v>0</v>
      </c>
      <c r="R35" s="101">
        <f>IF(H35="Y",Rates!$I$362*Q35,Q35)</f>
        <v>0</v>
      </c>
      <c r="S35" s="101">
        <f t="shared" si="7"/>
        <v>0</v>
      </c>
      <c r="T35" s="66">
        <f t="shared" si="8"/>
        <v>0</v>
      </c>
      <c r="U35" s="63"/>
      <c r="V35" s="462"/>
      <c r="W35" s="1120">
        <f t="shared" si="9"/>
        <v>0</v>
      </c>
      <c r="X35" s="1125"/>
      <c r="Y35" s="396"/>
      <c r="Z35" s="481"/>
      <c r="AA35" s="480">
        <f>IF(Z35="",0,ROUND(VLOOKUP(Z35,Compsch!$A$10:$B$509,2),2))</f>
        <v>0</v>
      </c>
      <c r="AB35" s="480">
        <f t="shared" si="0"/>
        <v>0</v>
      </c>
      <c r="AC35" s="480">
        <f t="shared" si="10"/>
        <v>0</v>
      </c>
      <c r="AD35" s="1112" t="str">
        <f t="shared" si="15"/>
        <v/>
      </c>
      <c r="AE35" s="459">
        <f>IF(AD35="",0,ROUND((VLOOKUP(Z35,Compsch!$A$11:$I$390,9)-(VLOOKUP(Z35,Compsch!$A$11:$I$390,7)))*(VLOOKUP(AD35,MeritSch!$A$5:$B$370,2)),0))</f>
        <v>0</v>
      </c>
      <c r="AF35" s="480">
        <f t="shared" si="2"/>
        <v>0</v>
      </c>
      <c r="AG35" s="605">
        <f t="shared" si="11"/>
        <v>0</v>
      </c>
      <c r="AH35" s="373">
        <f>IF(H35="Y",((((AA35+AB35+AG35)*W35)*Rates!$I$379))/24,(((AA35+AB35+AG35)*W35)/24))</f>
        <v>0</v>
      </c>
      <c r="AI35" s="464">
        <f t="shared" si="12"/>
        <v>0</v>
      </c>
      <c r="AJ35" s="465"/>
      <c r="AK35" s="479">
        <f>IF(H35="Y",(AI35*Rates!$I$379+AJ35),(AI35+AJ35))</f>
        <v>0</v>
      </c>
      <c r="AL35" s="426">
        <f t="shared" si="13"/>
        <v>0</v>
      </c>
      <c r="AM35" s="463">
        <f t="shared" si="3"/>
        <v>0</v>
      </c>
      <c r="AN35" s="37">
        <v>26</v>
      </c>
      <c r="AO35" s="1096"/>
      <c r="AP35" s="1097"/>
      <c r="AQ35" s="387"/>
      <c r="AR35" s="1070"/>
      <c r="AS35" s="387"/>
      <c r="AT35" s="1097"/>
      <c r="AU35" s="428"/>
      <c r="AV35" s="622"/>
      <c r="AW35" s="623"/>
    </row>
    <row r="36" spans="1:49" ht="27" hidden="1" customHeight="1" x14ac:dyDescent="0.2">
      <c r="A36" s="37">
        <v>27</v>
      </c>
      <c r="B36" s="509"/>
      <c r="C36" s="510"/>
      <c r="D36" s="511"/>
      <c r="E36" s="512"/>
      <c r="F36" s="1115"/>
      <c r="G36" s="1110" t="str">
        <f t="shared" si="14"/>
        <v>No</v>
      </c>
      <c r="H36" s="513"/>
      <c r="I36" s="482"/>
      <c r="J36" s="70"/>
      <c r="K36" s="1120">
        <f t="shared" si="4"/>
        <v>0</v>
      </c>
      <c r="L36" s="1125"/>
      <c r="M36" s="396"/>
      <c r="N36" s="593"/>
      <c r="O36" s="354">
        <f t="shared" si="5"/>
        <v>0</v>
      </c>
      <c r="P36" s="355">
        <f>IF(H36="y",(((N36+O36)*Rates!$J$331))/24,((N36+O36)/24))</f>
        <v>0</v>
      </c>
      <c r="Q36" s="355">
        <f t="shared" si="6"/>
        <v>0</v>
      </c>
      <c r="R36" s="101">
        <f>IF(H36="Y",Rates!$I$362*Q36,Q36)</f>
        <v>0</v>
      </c>
      <c r="S36" s="101">
        <f t="shared" si="7"/>
        <v>0</v>
      </c>
      <c r="T36" s="66">
        <f t="shared" si="8"/>
        <v>0</v>
      </c>
      <c r="U36" s="63"/>
      <c r="V36" s="462"/>
      <c r="W36" s="1120">
        <f t="shared" si="9"/>
        <v>0</v>
      </c>
      <c r="X36" s="1125"/>
      <c r="Y36" s="396"/>
      <c r="Z36" s="481"/>
      <c r="AA36" s="480">
        <f>IF(Z36="",0,ROUND(VLOOKUP(Z36,Compsch!$A$10:$B$509,2),2))</f>
        <v>0</v>
      </c>
      <c r="AB36" s="480">
        <f t="shared" si="0"/>
        <v>0</v>
      </c>
      <c r="AC36" s="480">
        <f t="shared" si="10"/>
        <v>0</v>
      </c>
      <c r="AD36" s="1112" t="str">
        <f t="shared" si="15"/>
        <v/>
      </c>
      <c r="AE36" s="459">
        <f>IF(AD36="",0,ROUND((VLOOKUP(Z36,Compsch!$A$11:$I$390,9)-(VLOOKUP(Z36,Compsch!$A$11:$I$390,7)))*(VLOOKUP(AD36,MeritSch!$A$5:$B$370,2)),0))</f>
        <v>0</v>
      </c>
      <c r="AF36" s="480">
        <f t="shared" si="2"/>
        <v>0</v>
      </c>
      <c r="AG36" s="605">
        <f t="shared" si="11"/>
        <v>0</v>
      </c>
      <c r="AH36" s="373">
        <f>IF(H36="Y",((((AA36+AB36+AG36)*W36)*Rates!$I$379))/24,(((AA36+AB36+AG36)*W36)/24))</f>
        <v>0</v>
      </c>
      <c r="AI36" s="464">
        <f t="shared" si="12"/>
        <v>0</v>
      </c>
      <c r="AJ36" s="465"/>
      <c r="AK36" s="479">
        <f>IF(H36="Y",(AI36*Rates!$I$379+AJ36),(AI36+AJ36))</f>
        <v>0</v>
      </c>
      <c r="AL36" s="426">
        <f t="shared" si="13"/>
        <v>0</v>
      </c>
      <c r="AM36" s="463">
        <f t="shared" si="3"/>
        <v>0</v>
      </c>
      <c r="AN36" s="37">
        <v>27</v>
      </c>
      <c r="AO36" s="1096"/>
      <c r="AP36" s="1097"/>
      <c r="AQ36" s="387"/>
      <c r="AR36" s="1070"/>
      <c r="AS36" s="387"/>
      <c r="AT36" s="1097"/>
      <c r="AU36" s="428"/>
      <c r="AV36" s="622"/>
      <c r="AW36" s="623"/>
    </row>
    <row r="37" spans="1:49" ht="27" hidden="1" customHeight="1" x14ac:dyDescent="0.2">
      <c r="A37" s="37">
        <v>28</v>
      </c>
      <c r="B37" s="509"/>
      <c r="C37" s="510"/>
      <c r="D37" s="511"/>
      <c r="E37" s="512"/>
      <c r="F37" s="1115"/>
      <c r="G37" s="1110" t="str">
        <f t="shared" si="14"/>
        <v>No</v>
      </c>
      <c r="H37" s="513"/>
      <c r="I37" s="482"/>
      <c r="J37" s="70"/>
      <c r="K37" s="1120">
        <f t="shared" si="4"/>
        <v>0</v>
      </c>
      <c r="L37" s="1125"/>
      <c r="M37" s="396"/>
      <c r="N37" s="593"/>
      <c r="O37" s="354">
        <f t="shared" si="5"/>
        <v>0</v>
      </c>
      <c r="P37" s="355">
        <f>IF(H37="y",(((N37+O37)*Rates!$J$331))/24,((N37+O37)/24))</f>
        <v>0</v>
      </c>
      <c r="Q37" s="355">
        <f t="shared" si="6"/>
        <v>0</v>
      </c>
      <c r="R37" s="101">
        <f>IF(H37="Y",Rates!$I$362*Q37,Q37)</f>
        <v>0</v>
      </c>
      <c r="S37" s="101">
        <f t="shared" si="7"/>
        <v>0</v>
      </c>
      <c r="T37" s="66">
        <f t="shared" si="8"/>
        <v>0</v>
      </c>
      <c r="U37" s="63"/>
      <c r="V37" s="462"/>
      <c r="W37" s="1120">
        <f t="shared" si="9"/>
        <v>0</v>
      </c>
      <c r="X37" s="1125"/>
      <c r="Y37" s="396"/>
      <c r="Z37" s="481"/>
      <c r="AA37" s="480">
        <f>IF(Z37="",0,ROUND(VLOOKUP(Z37,Compsch!$A$10:$B$509,2),2))</f>
        <v>0</v>
      </c>
      <c r="AB37" s="480">
        <f t="shared" si="0"/>
        <v>0</v>
      </c>
      <c r="AC37" s="480">
        <f t="shared" si="10"/>
        <v>0</v>
      </c>
      <c r="AD37" s="1112" t="str">
        <f t="shared" si="15"/>
        <v/>
      </c>
      <c r="AE37" s="459">
        <f>IF(AD37="",0,ROUND((VLOOKUP(Z37,Compsch!$A$11:$I$390,9)-(VLOOKUP(Z37,Compsch!$A$11:$I$390,7)))*(VLOOKUP(AD37,MeritSch!$A$5:$B$370,2)),0))</f>
        <v>0</v>
      </c>
      <c r="AF37" s="480">
        <f t="shared" si="2"/>
        <v>0</v>
      </c>
      <c r="AG37" s="605">
        <f t="shared" si="11"/>
        <v>0</v>
      </c>
      <c r="AH37" s="373">
        <f>IF(H37="Y",((((AA37+AB37+AG37)*W37)*Rates!$I$379))/24,(((AA37+AB37+AG37)*W37)/24))</f>
        <v>0</v>
      </c>
      <c r="AI37" s="464">
        <f t="shared" si="12"/>
        <v>0</v>
      </c>
      <c r="AJ37" s="465"/>
      <c r="AK37" s="479">
        <f>IF(H37="Y",(AI37*Rates!$I$379+AJ37),(AI37+AJ37))</f>
        <v>0</v>
      </c>
      <c r="AL37" s="426">
        <f t="shared" si="13"/>
        <v>0</v>
      </c>
      <c r="AM37" s="463">
        <f t="shared" si="3"/>
        <v>0</v>
      </c>
      <c r="AN37" s="37">
        <v>28</v>
      </c>
      <c r="AO37" s="1096"/>
      <c r="AP37" s="1097"/>
      <c r="AQ37" s="387"/>
      <c r="AR37" s="1070"/>
      <c r="AS37" s="387"/>
      <c r="AT37" s="1097"/>
      <c r="AU37" s="428"/>
      <c r="AV37" s="622"/>
      <c r="AW37" s="623"/>
    </row>
    <row r="38" spans="1:49" ht="27" hidden="1" customHeight="1" x14ac:dyDescent="0.2">
      <c r="A38" s="37">
        <v>29</v>
      </c>
      <c r="B38" s="509"/>
      <c r="C38" s="510"/>
      <c r="D38" s="511"/>
      <c r="E38" s="512"/>
      <c r="F38" s="1115"/>
      <c r="G38" s="1110" t="str">
        <f t="shared" si="14"/>
        <v>No</v>
      </c>
      <c r="H38" s="513"/>
      <c r="I38" s="482"/>
      <c r="J38" s="70"/>
      <c r="K38" s="1120">
        <f t="shared" si="4"/>
        <v>0</v>
      </c>
      <c r="L38" s="1125"/>
      <c r="M38" s="396"/>
      <c r="N38" s="593"/>
      <c r="O38" s="354">
        <f t="shared" si="5"/>
        <v>0</v>
      </c>
      <c r="P38" s="355">
        <f>IF(H38="y",(((N38+O38)*Rates!$J$331))/24,((N38+O38)/24))</f>
        <v>0</v>
      </c>
      <c r="Q38" s="355">
        <f t="shared" si="6"/>
        <v>0</v>
      </c>
      <c r="R38" s="101">
        <f>IF(H38="Y",Rates!$I$362*Q38,Q38)</f>
        <v>0</v>
      </c>
      <c r="S38" s="101">
        <f t="shared" si="7"/>
        <v>0</v>
      </c>
      <c r="T38" s="66">
        <f t="shared" si="8"/>
        <v>0</v>
      </c>
      <c r="U38" s="63"/>
      <c r="V38" s="462"/>
      <c r="W38" s="1120">
        <f t="shared" si="9"/>
        <v>0</v>
      </c>
      <c r="X38" s="1125"/>
      <c r="Y38" s="396"/>
      <c r="Z38" s="481"/>
      <c r="AA38" s="480">
        <f>IF(Z38="",0,ROUND(VLOOKUP(Z38,Compsch!$A$10:$B$509,2),2))</f>
        <v>0</v>
      </c>
      <c r="AB38" s="480">
        <f t="shared" si="0"/>
        <v>0</v>
      </c>
      <c r="AC38" s="480">
        <f t="shared" si="10"/>
        <v>0</v>
      </c>
      <c r="AD38" s="1112" t="str">
        <f t="shared" si="15"/>
        <v/>
      </c>
      <c r="AE38" s="459">
        <f>IF(AD38="",0,ROUND((VLOOKUP(Z38,Compsch!$A$11:$I$390,9)-(VLOOKUP(Z38,Compsch!$A$11:$I$390,7)))*(VLOOKUP(AD38,MeritSch!$A$5:$B$370,2)),0))</f>
        <v>0</v>
      </c>
      <c r="AF38" s="480">
        <f t="shared" si="2"/>
        <v>0</v>
      </c>
      <c r="AG38" s="605">
        <f t="shared" si="11"/>
        <v>0</v>
      </c>
      <c r="AH38" s="373">
        <f>IF(H38="Y",((((AA38+AB38+AG38)*W38)*Rates!$I$379))/24,(((AA38+AB38+AG38)*W38)/24))</f>
        <v>0</v>
      </c>
      <c r="AI38" s="464">
        <f t="shared" si="12"/>
        <v>0</v>
      </c>
      <c r="AJ38" s="465"/>
      <c r="AK38" s="479">
        <f>IF(H38="Y",(AI38*Rates!$I$379+AJ38),(AI38+AJ38))</f>
        <v>0</v>
      </c>
      <c r="AL38" s="426">
        <f t="shared" si="13"/>
        <v>0</v>
      </c>
      <c r="AM38" s="463">
        <f t="shared" si="3"/>
        <v>0</v>
      </c>
      <c r="AN38" s="37">
        <v>29</v>
      </c>
      <c r="AO38" s="1096"/>
      <c r="AP38" s="1097"/>
      <c r="AQ38" s="387"/>
      <c r="AR38" s="1070"/>
      <c r="AS38" s="387"/>
      <c r="AT38" s="1097"/>
      <c r="AU38" s="428"/>
      <c r="AV38" s="622"/>
      <c r="AW38" s="623"/>
    </row>
    <row r="39" spans="1:49" ht="27" hidden="1" customHeight="1" x14ac:dyDescent="0.2">
      <c r="A39" s="37">
        <v>30</v>
      </c>
      <c r="B39" s="509"/>
      <c r="C39" s="510"/>
      <c r="D39" s="511"/>
      <c r="E39" s="512"/>
      <c r="F39" s="1115"/>
      <c r="G39" s="1110" t="str">
        <f t="shared" si="14"/>
        <v>No</v>
      </c>
      <c r="H39" s="513"/>
      <c r="I39" s="482"/>
      <c r="J39" s="70"/>
      <c r="K39" s="1120">
        <f t="shared" si="4"/>
        <v>0</v>
      </c>
      <c r="L39" s="1125"/>
      <c r="M39" s="396"/>
      <c r="N39" s="593"/>
      <c r="O39" s="354">
        <f t="shared" si="5"/>
        <v>0</v>
      </c>
      <c r="P39" s="355">
        <f>IF(H39="y",(((N39+O39)*Rates!$J$331))/24,((N39+O39)/24))</f>
        <v>0</v>
      </c>
      <c r="Q39" s="355">
        <f t="shared" si="6"/>
        <v>0</v>
      </c>
      <c r="R39" s="101">
        <f>IF(H39="Y",Rates!$I$362*Q39,Q39)</f>
        <v>0</v>
      </c>
      <c r="S39" s="101">
        <f t="shared" si="7"/>
        <v>0</v>
      </c>
      <c r="T39" s="66">
        <f t="shared" si="8"/>
        <v>0</v>
      </c>
      <c r="U39" s="63"/>
      <c r="V39" s="462"/>
      <c r="W39" s="1120">
        <f t="shared" si="9"/>
        <v>0</v>
      </c>
      <c r="X39" s="1125"/>
      <c r="Y39" s="396"/>
      <c r="Z39" s="481"/>
      <c r="AA39" s="480">
        <f>IF(Z39="",0,ROUND(VLOOKUP(Z39,Compsch!$A$10:$B$509,2),2))</f>
        <v>0</v>
      </c>
      <c r="AB39" s="480">
        <f t="shared" si="0"/>
        <v>0</v>
      </c>
      <c r="AC39" s="480">
        <f t="shared" si="10"/>
        <v>0</v>
      </c>
      <c r="AD39" s="1112" t="str">
        <f t="shared" si="15"/>
        <v/>
      </c>
      <c r="AE39" s="459">
        <f>IF(AD39="",0,ROUND((VLOOKUP(Z39,Compsch!$A$11:$I$390,9)-(VLOOKUP(Z39,Compsch!$A$11:$I$390,7)))*(VLOOKUP(AD39,MeritSch!$A$5:$B$370,2)),0))</f>
        <v>0</v>
      </c>
      <c r="AF39" s="480">
        <f t="shared" si="2"/>
        <v>0</v>
      </c>
      <c r="AG39" s="605">
        <f t="shared" si="11"/>
        <v>0</v>
      </c>
      <c r="AH39" s="373">
        <f>IF(H39="Y",((((AA39+AB39+AG39)*W39)*Rates!$I$379))/24,(((AA39+AB39+AG39)*W39)/24))</f>
        <v>0</v>
      </c>
      <c r="AI39" s="464">
        <f t="shared" si="12"/>
        <v>0</v>
      </c>
      <c r="AJ39" s="465"/>
      <c r="AK39" s="479">
        <f>IF(H39="Y",(AI39*Rates!$I$379+AJ39),(AI39+AJ39))</f>
        <v>0</v>
      </c>
      <c r="AL39" s="426">
        <f t="shared" si="13"/>
        <v>0</v>
      </c>
      <c r="AM39" s="463">
        <f t="shared" si="3"/>
        <v>0</v>
      </c>
      <c r="AN39" s="37">
        <v>30</v>
      </c>
      <c r="AO39" s="1096"/>
      <c r="AP39" s="1097"/>
      <c r="AQ39" s="387"/>
      <c r="AR39" s="1070"/>
      <c r="AS39" s="387"/>
      <c r="AT39" s="1097"/>
      <c r="AU39" s="428"/>
      <c r="AV39" s="622"/>
      <c r="AW39" s="623"/>
    </row>
    <row r="40" spans="1:49" ht="27" hidden="1" customHeight="1" x14ac:dyDescent="0.2">
      <c r="A40" s="37">
        <v>31</v>
      </c>
      <c r="B40" s="509"/>
      <c r="C40" s="510"/>
      <c r="D40" s="511"/>
      <c r="E40" s="512"/>
      <c r="F40" s="1115"/>
      <c r="G40" s="1110" t="str">
        <f t="shared" si="14"/>
        <v>No</v>
      </c>
      <c r="H40" s="513"/>
      <c r="I40" s="482"/>
      <c r="J40" s="70"/>
      <c r="K40" s="1120">
        <f t="shared" si="4"/>
        <v>0</v>
      </c>
      <c r="L40" s="1125"/>
      <c r="M40" s="396"/>
      <c r="N40" s="593"/>
      <c r="O40" s="354">
        <f t="shared" si="5"/>
        <v>0</v>
      </c>
      <c r="P40" s="355">
        <f>IF(H40="y",(((N40+O40)*Rates!$J$331))/24,((N40+O40)/24))</f>
        <v>0</v>
      </c>
      <c r="Q40" s="355">
        <f t="shared" si="6"/>
        <v>0</v>
      </c>
      <c r="R40" s="101">
        <f>IF(H40="Y",Rates!$I$362*Q40,Q40)</f>
        <v>0</v>
      </c>
      <c r="S40" s="101">
        <f t="shared" si="7"/>
        <v>0</v>
      </c>
      <c r="T40" s="66">
        <f t="shared" si="8"/>
        <v>0</v>
      </c>
      <c r="U40" s="63"/>
      <c r="V40" s="462"/>
      <c r="W40" s="1120">
        <f t="shared" si="9"/>
        <v>0</v>
      </c>
      <c r="X40" s="1125"/>
      <c r="Y40" s="396"/>
      <c r="Z40" s="481"/>
      <c r="AA40" s="480">
        <f>IF(Z40="",0,ROUND(VLOOKUP(Z40,Compsch!$A$10:$B$509,2),2))</f>
        <v>0</v>
      </c>
      <c r="AB40" s="480">
        <f t="shared" si="0"/>
        <v>0</v>
      </c>
      <c r="AC40" s="480">
        <f t="shared" si="10"/>
        <v>0</v>
      </c>
      <c r="AD40" s="1112" t="str">
        <f t="shared" si="15"/>
        <v/>
      </c>
      <c r="AE40" s="459">
        <f>IF(AD40="",0,ROUND((VLOOKUP(Z40,Compsch!$A$11:$I$390,9)-(VLOOKUP(Z40,Compsch!$A$11:$I$390,7)))*(VLOOKUP(AD40,MeritSch!$A$5:$B$370,2)),0))</f>
        <v>0</v>
      </c>
      <c r="AF40" s="480">
        <f t="shared" si="2"/>
        <v>0</v>
      </c>
      <c r="AG40" s="605">
        <f t="shared" si="11"/>
        <v>0</v>
      </c>
      <c r="AH40" s="373">
        <f>IF(H40="Y",((((AA40+AB40+AG40)*W40)*Rates!$I$379))/24,(((AA40+AB40+AG40)*W40)/24))</f>
        <v>0</v>
      </c>
      <c r="AI40" s="464">
        <f t="shared" si="12"/>
        <v>0</v>
      </c>
      <c r="AJ40" s="465"/>
      <c r="AK40" s="479">
        <f>IF(H40="Y",(AI40*Rates!$I$379+AJ40),(AI40+AJ40))</f>
        <v>0</v>
      </c>
      <c r="AL40" s="426">
        <f t="shared" si="13"/>
        <v>0</v>
      </c>
      <c r="AM40" s="463">
        <f t="shared" si="3"/>
        <v>0</v>
      </c>
      <c r="AN40" s="37">
        <v>31</v>
      </c>
      <c r="AO40" s="1096"/>
      <c r="AP40" s="1097"/>
      <c r="AQ40" s="387"/>
      <c r="AR40" s="1070"/>
      <c r="AS40" s="387"/>
      <c r="AT40" s="1097"/>
      <c r="AU40" s="428"/>
      <c r="AV40" s="622"/>
      <c r="AW40" s="623"/>
    </row>
    <row r="41" spans="1:49" ht="27" hidden="1" customHeight="1" x14ac:dyDescent="0.2">
      <c r="A41" s="37">
        <v>32</v>
      </c>
      <c r="B41" s="509"/>
      <c r="C41" s="510"/>
      <c r="D41" s="511"/>
      <c r="E41" s="512"/>
      <c r="F41" s="1115"/>
      <c r="G41" s="1110" t="str">
        <f t="shared" si="14"/>
        <v>No</v>
      </c>
      <c r="H41" s="513"/>
      <c r="I41" s="482"/>
      <c r="J41" s="70"/>
      <c r="K41" s="1120">
        <f t="shared" si="4"/>
        <v>0</v>
      </c>
      <c r="L41" s="1125"/>
      <c r="M41" s="396"/>
      <c r="N41" s="593"/>
      <c r="O41" s="354">
        <f t="shared" si="5"/>
        <v>0</v>
      </c>
      <c r="P41" s="355">
        <f>IF(H41="y",(((N41+O41)*Rates!$J$331))/24,((N41+O41)/24))</f>
        <v>0</v>
      </c>
      <c r="Q41" s="355">
        <f t="shared" si="6"/>
        <v>0</v>
      </c>
      <c r="R41" s="101">
        <f>IF(H41="Y",Rates!$I$362*Q41,Q41)</f>
        <v>0</v>
      </c>
      <c r="S41" s="101">
        <f t="shared" si="7"/>
        <v>0</v>
      </c>
      <c r="T41" s="66">
        <f t="shared" si="8"/>
        <v>0</v>
      </c>
      <c r="U41" s="63"/>
      <c r="V41" s="462"/>
      <c r="W41" s="1120">
        <f t="shared" si="9"/>
        <v>0</v>
      </c>
      <c r="X41" s="1125"/>
      <c r="Y41" s="396"/>
      <c r="Z41" s="481"/>
      <c r="AA41" s="480">
        <f>IF(Z41="",0,ROUND(VLOOKUP(Z41,Compsch!$A$10:$B$509,2),2))</f>
        <v>0</v>
      </c>
      <c r="AB41" s="480">
        <f t="shared" si="0"/>
        <v>0</v>
      </c>
      <c r="AC41" s="480">
        <f t="shared" si="10"/>
        <v>0</v>
      </c>
      <c r="AD41" s="1112" t="str">
        <f t="shared" si="15"/>
        <v/>
      </c>
      <c r="AE41" s="459">
        <f>IF(AD41="",0,ROUND((VLOOKUP(Z41,Compsch!$A$11:$I$390,9)-(VLOOKUP(Z41,Compsch!$A$11:$I$390,7)))*(VLOOKUP(AD41,MeritSch!$A$5:$B$370,2)),0))</f>
        <v>0</v>
      </c>
      <c r="AF41" s="480">
        <f t="shared" si="2"/>
        <v>0</v>
      </c>
      <c r="AG41" s="605">
        <f t="shared" si="11"/>
        <v>0</v>
      </c>
      <c r="AH41" s="373">
        <f>IF(H41="Y",((((AA41+AB41+AG41)*W41)*Rates!$I$379))/24,(((AA41+AB41+AG41)*W41)/24))</f>
        <v>0</v>
      </c>
      <c r="AI41" s="464">
        <f t="shared" si="12"/>
        <v>0</v>
      </c>
      <c r="AJ41" s="465"/>
      <c r="AK41" s="479">
        <f>IF(H41="Y",(AI41*Rates!$I$379+AJ41),(AI41+AJ41))</f>
        <v>0</v>
      </c>
      <c r="AL41" s="426">
        <f t="shared" si="13"/>
        <v>0</v>
      </c>
      <c r="AM41" s="463">
        <f t="shared" si="3"/>
        <v>0</v>
      </c>
      <c r="AN41" s="37">
        <v>32</v>
      </c>
      <c r="AO41" s="1096"/>
      <c r="AP41" s="1097"/>
      <c r="AQ41" s="387"/>
      <c r="AR41" s="1070"/>
      <c r="AS41" s="387"/>
      <c r="AT41" s="1097"/>
      <c r="AU41" s="428"/>
      <c r="AV41" s="622"/>
      <c r="AW41" s="623"/>
    </row>
    <row r="42" spans="1:49" ht="27" hidden="1" customHeight="1" x14ac:dyDescent="0.2">
      <c r="A42" s="37">
        <v>33</v>
      </c>
      <c r="B42" s="509"/>
      <c r="C42" s="510"/>
      <c r="D42" s="511"/>
      <c r="E42" s="512"/>
      <c r="F42" s="1115"/>
      <c r="G42" s="1110" t="str">
        <f t="shared" si="14"/>
        <v>No</v>
      </c>
      <c r="H42" s="513"/>
      <c r="I42" s="482"/>
      <c r="J42" s="70"/>
      <c r="K42" s="1120">
        <f t="shared" si="4"/>
        <v>0</v>
      </c>
      <c r="L42" s="1125"/>
      <c r="M42" s="396"/>
      <c r="N42" s="593"/>
      <c r="O42" s="354">
        <f t="shared" si="5"/>
        <v>0</v>
      </c>
      <c r="P42" s="355">
        <f>IF(H42="y",(((N42+O42)*Rates!$J$331))/24,((N42+O42)/24))</f>
        <v>0</v>
      </c>
      <c r="Q42" s="355">
        <f t="shared" ref="Q42:Q73" si="16">P42*M42*K42</f>
        <v>0</v>
      </c>
      <c r="R42" s="101">
        <f>IF(H42="Y",Rates!$I$362*Q42,Q42)</f>
        <v>0</v>
      </c>
      <c r="S42" s="101">
        <f t="shared" si="7"/>
        <v>0</v>
      </c>
      <c r="T42" s="66">
        <f t="shared" si="8"/>
        <v>0</v>
      </c>
      <c r="U42" s="63"/>
      <c r="V42" s="462"/>
      <c r="W42" s="1120">
        <f t="shared" si="9"/>
        <v>0</v>
      </c>
      <c r="X42" s="1125"/>
      <c r="Y42" s="396"/>
      <c r="Z42" s="481"/>
      <c r="AA42" s="480">
        <f>IF(Z42="",0,ROUND(VLOOKUP(Z42,Compsch!$A$10:$B$509,2),2))</f>
        <v>0</v>
      </c>
      <c r="AB42" s="480">
        <f t="shared" ref="AB42:AB73" si="17">AA42*IF(I42="Both",0.05*2,IF(I42="",0,0.05))</f>
        <v>0</v>
      </c>
      <c r="AC42" s="480">
        <f t="shared" si="10"/>
        <v>0</v>
      </c>
      <c r="AD42" s="1112" t="str">
        <f t="shared" si="15"/>
        <v/>
      </c>
      <c r="AE42" s="459">
        <f>IF(AD42="",0,ROUND((VLOOKUP(Z42,Compsch!$A$11:$I$390,9)-(VLOOKUP(Z42,Compsch!$A$11:$I$390,7)))*(VLOOKUP(AD42,MeritSch!$A$5:$B$370,2)),0))</f>
        <v>0</v>
      </c>
      <c r="AF42" s="480">
        <f t="shared" ref="AF42:AF73" si="18">AE42*IF(I42="Both",0.1,IF(I42="",0,0.05))</f>
        <v>0</v>
      </c>
      <c r="AG42" s="605">
        <f t="shared" si="11"/>
        <v>0</v>
      </c>
      <c r="AH42" s="373">
        <f>IF(H42="Y",((((AA42+AB42+AG42)*W42)*Rates!$I$379))/24,(((AA42+AB42+AG42)*W42)/24))</f>
        <v>0</v>
      </c>
      <c r="AI42" s="464">
        <f t="shared" si="12"/>
        <v>0</v>
      </c>
      <c r="AJ42" s="465"/>
      <c r="AK42" s="479">
        <f>IF(H42="Y",(AI42*Rates!$I$379+AJ42),(AI42+AJ42))</f>
        <v>0</v>
      </c>
      <c r="AL42" s="426">
        <f t="shared" si="13"/>
        <v>0</v>
      </c>
      <c r="AM42" s="463">
        <f t="shared" si="3"/>
        <v>0</v>
      </c>
      <c r="AN42" s="37">
        <v>33</v>
      </c>
      <c r="AO42" s="1096"/>
      <c r="AP42" s="1097"/>
      <c r="AQ42" s="387"/>
      <c r="AR42" s="1070"/>
      <c r="AS42" s="387"/>
      <c r="AT42" s="1097"/>
      <c r="AU42" s="428"/>
      <c r="AV42" s="622"/>
      <c r="AW42" s="623"/>
    </row>
    <row r="43" spans="1:49" ht="27" hidden="1" customHeight="1" x14ac:dyDescent="0.2">
      <c r="A43" s="37">
        <v>34</v>
      </c>
      <c r="B43" s="509"/>
      <c r="C43" s="510"/>
      <c r="D43" s="511"/>
      <c r="E43" s="512"/>
      <c r="F43" s="1115"/>
      <c r="G43" s="1110" t="str">
        <f t="shared" si="14"/>
        <v>No</v>
      </c>
      <c r="H43" s="513"/>
      <c r="I43" s="482"/>
      <c r="J43" s="70"/>
      <c r="K43" s="1120">
        <f t="shared" si="4"/>
        <v>0</v>
      </c>
      <c r="L43" s="1125"/>
      <c r="M43" s="396"/>
      <c r="N43" s="593"/>
      <c r="O43" s="354">
        <f t="shared" si="5"/>
        <v>0</v>
      </c>
      <c r="P43" s="355">
        <f>IF(H43="y",(((N43+O43)*Rates!$J$331))/24,((N43+O43)/24))</f>
        <v>0</v>
      </c>
      <c r="Q43" s="355">
        <f t="shared" si="16"/>
        <v>0</v>
      </c>
      <c r="R43" s="101">
        <f>IF(H43="Y",Rates!$I$362*Q43,Q43)</f>
        <v>0</v>
      </c>
      <c r="S43" s="101">
        <f t="shared" si="7"/>
        <v>0</v>
      </c>
      <c r="T43" s="66">
        <f t="shared" si="8"/>
        <v>0</v>
      </c>
      <c r="U43" s="63"/>
      <c r="V43" s="462"/>
      <c r="W43" s="1120">
        <f t="shared" si="9"/>
        <v>0</v>
      </c>
      <c r="X43" s="1125"/>
      <c r="Y43" s="396"/>
      <c r="Z43" s="481"/>
      <c r="AA43" s="480">
        <f>IF(Z43="",0,ROUND(VLOOKUP(Z43,Compsch!$A$10:$B$509,2),2))</f>
        <v>0</v>
      </c>
      <c r="AB43" s="480">
        <f t="shared" si="17"/>
        <v>0</v>
      </c>
      <c r="AC43" s="480">
        <f t="shared" si="10"/>
        <v>0</v>
      </c>
      <c r="AD43" s="1112" t="str">
        <f t="shared" si="15"/>
        <v/>
      </c>
      <c r="AE43" s="459">
        <f>IF(AD43="",0,ROUND((VLOOKUP(Z43,Compsch!$A$11:$I$390,9)-(VLOOKUP(Z43,Compsch!$A$11:$I$390,7)))*(VLOOKUP(AD43,MeritSch!$A$5:$B$370,2)),0))</f>
        <v>0</v>
      </c>
      <c r="AF43" s="480">
        <f t="shared" si="18"/>
        <v>0</v>
      </c>
      <c r="AG43" s="605">
        <f t="shared" si="11"/>
        <v>0</v>
      </c>
      <c r="AH43" s="373">
        <f>IF(H43="Y",((((AA43+AB43+AG43)*W43)*Rates!$I$379))/24,(((AA43+AB43+AG43)*W43)/24))</f>
        <v>0</v>
      </c>
      <c r="AI43" s="464">
        <f t="shared" si="12"/>
        <v>0</v>
      </c>
      <c r="AJ43" s="465"/>
      <c r="AK43" s="479">
        <f>IF(H43="Y",(AI43*Rates!$I$379+AJ43),(AI43+AJ43))</f>
        <v>0</v>
      </c>
      <c r="AL43" s="426">
        <f t="shared" si="13"/>
        <v>0</v>
      </c>
      <c r="AM43" s="463">
        <f t="shared" si="3"/>
        <v>0</v>
      </c>
      <c r="AN43" s="37">
        <v>34</v>
      </c>
      <c r="AO43" s="1096"/>
      <c r="AP43" s="1097"/>
      <c r="AQ43" s="387"/>
      <c r="AR43" s="1070"/>
      <c r="AS43" s="387"/>
      <c r="AT43" s="1097"/>
      <c r="AU43" s="428"/>
      <c r="AV43" s="622"/>
      <c r="AW43" s="623"/>
    </row>
    <row r="44" spans="1:49" ht="27" hidden="1" customHeight="1" x14ac:dyDescent="0.2">
      <c r="A44" s="37">
        <v>35</v>
      </c>
      <c r="B44" s="509"/>
      <c r="C44" s="510"/>
      <c r="D44" s="511"/>
      <c r="E44" s="512"/>
      <c r="F44" s="1115"/>
      <c r="G44" s="1110" t="str">
        <f t="shared" si="14"/>
        <v>No</v>
      </c>
      <c r="H44" s="513"/>
      <c r="I44" s="482"/>
      <c r="J44" s="70"/>
      <c r="K44" s="1120">
        <f t="shared" si="4"/>
        <v>0</v>
      </c>
      <c r="L44" s="1125"/>
      <c r="M44" s="396"/>
      <c r="N44" s="593"/>
      <c r="O44" s="354">
        <f t="shared" si="5"/>
        <v>0</v>
      </c>
      <c r="P44" s="355">
        <f>IF(H44="y",(((N44+O44)*Rates!$J$331))/24,((N44+O44)/24))</f>
        <v>0</v>
      </c>
      <c r="Q44" s="355">
        <f t="shared" si="16"/>
        <v>0</v>
      </c>
      <c r="R44" s="101">
        <f>IF(H44="Y",Rates!$I$362*Q44,Q44)</f>
        <v>0</v>
      </c>
      <c r="S44" s="101">
        <f t="shared" si="7"/>
        <v>0</v>
      </c>
      <c r="T44" s="66">
        <f t="shared" si="8"/>
        <v>0</v>
      </c>
      <c r="U44" s="63"/>
      <c r="V44" s="462"/>
      <c r="W44" s="1120">
        <f t="shared" si="9"/>
        <v>0</v>
      </c>
      <c r="X44" s="1125"/>
      <c r="Y44" s="396"/>
      <c r="Z44" s="481"/>
      <c r="AA44" s="480">
        <f>IF(Z44="",0,ROUND(VLOOKUP(Z44,Compsch!$A$10:$B$509,2),2))</f>
        <v>0</v>
      </c>
      <c r="AB44" s="480">
        <f t="shared" si="17"/>
        <v>0</v>
      </c>
      <c r="AC44" s="480">
        <f t="shared" si="10"/>
        <v>0</v>
      </c>
      <c r="AD44" s="1112" t="str">
        <f t="shared" si="15"/>
        <v/>
      </c>
      <c r="AE44" s="459">
        <f>IF(AD44="",0,ROUND((VLOOKUP(Z44,Compsch!$A$11:$I$390,9)-(VLOOKUP(Z44,Compsch!$A$11:$I$390,7)))*(VLOOKUP(AD44,MeritSch!$A$5:$B$370,2)),0))</f>
        <v>0</v>
      </c>
      <c r="AF44" s="480">
        <f t="shared" si="18"/>
        <v>0</v>
      </c>
      <c r="AG44" s="605">
        <f t="shared" si="11"/>
        <v>0</v>
      </c>
      <c r="AH44" s="373">
        <f>IF(H44="Y",((((AA44+AB44+AG44)*W44)*Rates!$I$379))/24,(((AA44+AB44+AG44)*W44)/24))</f>
        <v>0</v>
      </c>
      <c r="AI44" s="464">
        <f t="shared" si="12"/>
        <v>0</v>
      </c>
      <c r="AJ44" s="465"/>
      <c r="AK44" s="479">
        <f>IF(H44="Y",(AI44*Rates!$I$379+AJ44),(AI44+AJ44))</f>
        <v>0</v>
      </c>
      <c r="AL44" s="426">
        <f t="shared" si="13"/>
        <v>0</v>
      </c>
      <c r="AM44" s="463">
        <f t="shared" si="3"/>
        <v>0</v>
      </c>
      <c r="AN44" s="37">
        <v>35</v>
      </c>
      <c r="AO44" s="1096"/>
      <c r="AP44" s="1097"/>
      <c r="AQ44" s="387"/>
      <c r="AR44" s="1070"/>
      <c r="AS44" s="387"/>
      <c r="AT44" s="1097"/>
      <c r="AU44" s="428"/>
      <c r="AV44" s="622"/>
      <c r="AW44" s="623"/>
    </row>
    <row r="45" spans="1:49" ht="27" hidden="1" customHeight="1" x14ac:dyDescent="0.2">
      <c r="A45" s="37">
        <v>36</v>
      </c>
      <c r="B45" s="509"/>
      <c r="C45" s="510"/>
      <c r="D45" s="511"/>
      <c r="E45" s="512"/>
      <c r="F45" s="1115"/>
      <c r="G45" s="1110" t="str">
        <f t="shared" si="14"/>
        <v>No</v>
      </c>
      <c r="H45" s="513"/>
      <c r="I45" s="482"/>
      <c r="J45" s="70"/>
      <c r="K45" s="1120">
        <f t="shared" si="4"/>
        <v>0</v>
      </c>
      <c r="L45" s="1125"/>
      <c r="M45" s="396"/>
      <c r="N45" s="593"/>
      <c r="O45" s="354">
        <f t="shared" si="5"/>
        <v>0</v>
      </c>
      <c r="P45" s="355">
        <f>IF(H45="y",(((N45+O45)*Rates!$J$331))/24,((N45+O45)/24))</f>
        <v>0</v>
      </c>
      <c r="Q45" s="355">
        <f t="shared" si="16"/>
        <v>0</v>
      </c>
      <c r="R45" s="101">
        <f>IF(H45="Y",Rates!$I$362*Q45,Q45)</f>
        <v>0</v>
      </c>
      <c r="S45" s="101">
        <f t="shared" si="7"/>
        <v>0</v>
      </c>
      <c r="T45" s="66">
        <f t="shared" si="8"/>
        <v>0</v>
      </c>
      <c r="U45" s="63"/>
      <c r="V45" s="462"/>
      <c r="W45" s="1120">
        <f t="shared" si="9"/>
        <v>0</v>
      </c>
      <c r="X45" s="1125"/>
      <c r="Y45" s="396"/>
      <c r="Z45" s="481"/>
      <c r="AA45" s="480">
        <f>IF(Z45="",0,ROUND(VLOOKUP(Z45,Compsch!$A$10:$B$509,2),2))</f>
        <v>0</v>
      </c>
      <c r="AB45" s="480">
        <f t="shared" si="17"/>
        <v>0</v>
      </c>
      <c r="AC45" s="480">
        <f t="shared" si="10"/>
        <v>0</v>
      </c>
      <c r="AD45" s="1112" t="str">
        <f t="shared" si="15"/>
        <v/>
      </c>
      <c r="AE45" s="459">
        <f>IF(AD45="",0,ROUND((VLOOKUP(Z45,Compsch!$A$11:$I$390,9)-(VLOOKUP(Z45,Compsch!$A$11:$I$390,7)))*(VLOOKUP(AD45,MeritSch!$A$5:$B$370,2)),0))</f>
        <v>0</v>
      </c>
      <c r="AF45" s="480">
        <f t="shared" si="18"/>
        <v>0</v>
      </c>
      <c r="AG45" s="605">
        <f t="shared" si="11"/>
        <v>0</v>
      </c>
      <c r="AH45" s="373">
        <f>IF(H45="Y",((((AA45+AB45+AG45)*W45)*Rates!$I$379))/24,(((AA45+AB45+AG45)*W45)/24))</f>
        <v>0</v>
      </c>
      <c r="AI45" s="464">
        <f t="shared" si="12"/>
        <v>0</v>
      </c>
      <c r="AJ45" s="465"/>
      <c r="AK45" s="479">
        <f>IF(H45="Y",(AI45*Rates!$I$379+AJ45),(AI45+AJ45))</f>
        <v>0</v>
      </c>
      <c r="AL45" s="426">
        <f t="shared" si="13"/>
        <v>0</v>
      </c>
      <c r="AM45" s="463">
        <f t="shared" si="3"/>
        <v>0</v>
      </c>
      <c r="AN45" s="37">
        <v>36</v>
      </c>
      <c r="AO45" s="1096"/>
      <c r="AP45" s="1097"/>
      <c r="AQ45" s="387"/>
      <c r="AR45" s="1070"/>
      <c r="AS45" s="387"/>
      <c r="AT45" s="1097"/>
      <c r="AU45" s="428"/>
      <c r="AV45" s="622"/>
      <c r="AW45" s="623"/>
    </row>
    <row r="46" spans="1:49" ht="27" hidden="1" customHeight="1" x14ac:dyDescent="0.2">
      <c r="A46" s="37">
        <v>37</v>
      </c>
      <c r="B46" s="509"/>
      <c r="C46" s="510"/>
      <c r="D46" s="511"/>
      <c r="E46" s="512"/>
      <c r="F46" s="1115"/>
      <c r="G46" s="1110" t="str">
        <f t="shared" si="14"/>
        <v>No</v>
      </c>
      <c r="H46" s="513"/>
      <c r="I46" s="482"/>
      <c r="J46" s="70"/>
      <c r="K46" s="1120">
        <f t="shared" si="4"/>
        <v>0</v>
      </c>
      <c r="L46" s="1125"/>
      <c r="M46" s="396"/>
      <c r="N46" s="593"/>
      <c r="O46" s="354">
        <f t="shared" si="5"/>
        <v>0</v>
      </c>
      <c r="P46" s="355">
        <f>IF(H46="y",(((N46+O46)*Rates!$J$331))/24,((N46+O46)/24))</f>
        <v>0</v>
      </c>
      <c r="Q46" s="355">
        <f t="shared" si="16"/>
        <v>0</v>
      </c>
      <c r="R46" s="101">
        <f>IF(H46="Y",Rates!$I$362*Q46,Q46)</f>
        <v>0</v>
      </c>
      <c r="S46" s="101">
        <f t="shared" si="7"/>
        <v>0</v>
      </c>
      <c r="T46" s="66">
        <f t="shared" si="8"/>
        <v>0</v>
      </c>
      <c r="U46" s="63"/>
      <c r="V46" s="462"/>
      <c r="W46" s="1120">
        <f t="shared" si="9"/>
        <v>0</v>
      </c>
      <c r="X46" s="1125"/>
      <c r="Y46" s="396"/>
      <c r="Z46" s="481"/>
      <c r="AA46" s="480">
        <f>IF(Z46="",0,ROUND(VLOOKUP(Z46,Compsch!$A$10:$B$509,2),2))</f>
        <v>0</v>
      </c>
      <c r="AB46" s="480">
        <f t="shared" si="17"/>
        <v>0</v>
      </c>
      <c r="AC46" s="480">
        <f t="shared" si="10"/>
        <v>0</v>
      </c>
      <c r="AD46" s="1112" t="str">
        <f t="shared" si="15"/>
        <v/>
      </c>
      <c r="AE46" s="459">
        <f>IF(AD46="",0,ROUND((VLOOKUP(Z46,Compsch!$A$11:$I$390,9)-(VLOOKUP(Z46,Compsch!$A$11:$I$390,7)))*(VLOOKUP(AD46,MeritSch!$A$5:$B$370,2)),0))</f>
        <v>0</v>
      </c>
      <c r="AF46" s="480">
        <f t="shared" si="18"/>
        <v>0</v>
      </c>
      <c r="AG46" s="605">
        <f t="shared" si="11"/>
        <v>0</v>
      </c>
      <c r="AH46" s="373">
        <f>IF(H46="Y",((((AA46+AB46+AG46)*W46)*Rates!$I$379))/24,(((AA46+AB46+AG46)*W46)/24))</f>
        <v>0</v>
      </c>
      <c r="AI46" s="464">
        <f t="shared" si="12"/>
        <v>0</v>
      </c>
      <c r="AJ46" s="465"/>
      <c r="AK46" s="479">
        <f>IF(H46="Y",(AI46*Rates!$I$379+AJ46),(AI46+AJ46))</f>
        <v>0</v>
      </c>
      <c r="AL46" s="426">
        <f t="shared" si="13"/>
        <v>0</v>
      </c>
      <c r="AM46" s="463">
        <f t="shared" si="3"/>
        <v>0</v>
      </c>
      <c r="AN46" s="37">
        <v>37</v>
      </c>
      <c r="AO46" s="1096"/>
      <c r="AP46" s="1097"/>
      <c r="AQ46" s="387"/>
      <c r="AR46" s="1070"/>
      <c r="AS46" s="387"/>
      <c r="AT46" s="1097"/>
      <c r="AU46" s="428"/>
      <c r="AV46" s="622"/>
      <c r="AW46" s="623"/>
    </row>
    <row r="47" spans="1:49" ht="27" hidden="1" customHeight="1" x14ac:dyDescent="0.2">
      <c r="A47" s="37">
        <v>38</v>
      </c>
      <c r="B47" s="509"/>
      <c r="C47" s="510"/>
      <c r="D47" s="511"/>
      <c r="E47" s="512"/>
      <c r="F47" s="1115"/>
      <c r="G47" s="1110" t="str">
        <f t="shared" si="14"/>
        <v>No</v>
      </c>
      <c r="H47" s="513"/>
      <c r="I47" s="482"/>
      <c r="J47" s="70"/>
      <c r="K47" s="1120">
        <f t="shared" si="4"/>
        <v>0</v>
      </c>
      <c r="L47" s="1125"/>
      <c r="M47" s="396"/>
      <c r="N47" s="593"/>
      <c r="O47" s="354">
        <f t="shared" si="5"/>
        <v>0</v>
      </c>
      <c r="P47" s="355">
        <f>IF(H47="y",(((N47+O47)*Rates!$J$331))/24,((N47+O47)/24))</f>
        <v>0</v>
      </c>
      <c r="Q47" s="355">
        <f t="shared" si="16"/>
        <v>0</v>
      </c>
      <c r="R47" s="101">
        <f>IF(H47="Y",Rates!$I$362*Q47,Q47)</f>
        <v>0</v>
      </c>
      <c r="S47" s="101">
        <f t="shared" si="7"/>
        <v>0</v>
      </c>
      <c r="T47" s="66">
        <f t="shared" si="8"/>
        <v>0</v>
      </c>
      <c r="U47" s="63"/>
      <c r="V47" s="462"/>
      <c r="W47" s="1120">
        <f t="shared" si="9"/>
        <v>0</v>
      </c>
      <c r="X47" s="1125"/>
      <c r="Y47" s="396"/>
      <c r="Z47" s="481"/>
      <c r="AA47" s="480">
        <f>IF(Z47="",0,ROUND(VLOOKUP(Z47,Compsch!$A$10:$B$509,2),2))</f>
        <v>0</v>
      </c>
      <c r="AB47" s="480">
        <f t="shared" si="17"/>
        <v>0</v>
      </c>
      <c r="AC47" s="480">
        <f t="shared" si="10"/>
        <v>0</v>
      </c>
      <c r="AD47" s="1112" t="str">
        <f t="shared" si="15"/>
        <v/>
      </c>
      <c r="AE47" s="459">
        <f>IF(AD47="",0,ROUND((VLOOKUP(Z47,Compsch!$A$11:$I$390,9)-(VLOOKUP(Z47,Compsch!$A$11:$I$390,7)))*(VLOOKUP(AD47,MeritSch!$A$5:$B$370,2)),0))</f>
        <v>0</v>
      </c>
      <c r="AF47" s="480">
        <f t="shared" si="18"/>
        <v>0</v>
      </c>
      <c r="AG47" s="605">
        <f t="shared" si="11"/>
        <v>0</v>
      </c>
      <c r="AH47" s="373">
        <f>IF(H47="Y",((((AA47+AB47+AG47)*W47)*Rates!$I$379))/24,(((AA47+AB47+AG47)*W47)/24))</f>
        <v>0</v>
      </c>
      <c r="AI47" s="464">
        <f t="shared" si="12"/>
        <v>0</v>
      </c>
      <c r="AJ47" s="465"/>
      <c r="AK47" s="479">
        <f>IF(H47="Y",(AI47*Rates!$I$379+AJ47),(AI47+AJ47))</f>
        <v>0</v>
      </c>
      <c r="AL47" s="426">
        <f t="shared" si="13"/>
        <v>0</v>
      </c>
      <c r="AM47" s="463">
        <f t="shared" si="3"/>
        <v>0</v>
      </c>
      <c r="AN47" s="37">
        <v>38</v>
      </c>
      <c r="AO47" s="1096"/>
      <c r="AP47" s="1097"/>
      <c r="AQ47" s="387"/>
      <c r="AR47" s="1070"/>
      <c r="AS47" s="387"/>
      <c r="AT47" s="1097"/>
      <c r="AU47" s="428"/>
      <c r="AV47" s="622"/>
      <c r="AW47" s="623"/>
    </row>
    <row r="48" spans="1:49" ht="27" hidden="1" customHeight="1" x14ac:dyDescent="0.2">
      <c r="A48" s="37">
        <v>39</v>
      </c>
      <c r="B48" s="509"/>
      <c r="C48" s="510"/>
      <c r="D48" s="511"/>
      <c r="E48" s="512"/>
      <c r="F48" s="1115"/>
      <c r="G48" s="1110" t="str">
        <f t="shared" si="14"/>
        <v>No</v>
      </c>
      <c r="H48" s="513"/>
      <c r="I48" s="482"/>
      <c r="J48" s="70"/>
      <c r="K48" s="1120">
        <f t="shared" si="4"/>
        <v>0</v>
      </c>
      <c r="L48" s="1125"/>
      <c r="M48" s="396"/>
      <c r="N48" s="593"/>
      <c r="O48" s="354">
        <f t="shared" si="5"/>
        <v>0</v>
      </c>
      <c r="P48" s="355">
        <f>IF(H48="y",(((N48+O48)*Rates!$J$331))/24,((N48+O48)/24))</f>
        <v>0</v>
      </c>
      <c r="Q48" s="355">
        <f t="shared" si="16"/>
        <v>0</v>
      </c>
      <c r="R48" s="101">
        <f>IF(H48="Y",Rates!$I$362*Q48,Q48)</f>
        <v>0</v>
      </c>
      <c r="S48" s="101">
        <f t="shared" si="7"/>
        <v>0</v>
      </c>
      <c r="T48" s="66">
        <f t="shared" si="8"/>
        <v>0</v>
      </c>
      <c r="U48" s="63"/>
      <c r="V48" s="462"/>
      <c r="W48" s="1120">
        <f t="shared" si="9"/>
        <v>0</v>
      </c>
      <c r="X48" s="1125"/>
      <c r="Y48" s="396"/>
      <c r="Z48" s="481"/>
      <c r="AA48" s="480">
        <f>IF(Z48="",0,ROUND(VLOOKUP(Z48,Compsch!$A$10:$B$509,2),2))</f>
        <v>0</v>
      </c>
      <c r="AB48" s="480">
        <f t="shared" si="17"/>
        <v>0</v>
      </c>
      <c r="AC48" s="480">
        <f t="shared" si="10"/>
        <v>0</v>
      </c>
      <c r="AD48" s="1112" t="str">
        <f t="shared" si="15"/>
        <v/>
      </c>
      <c r="AE48" s="459">
        <f>IF(AD48="",0,ROUND((VLOOKUP(Z48,Compsch!$A$11:$I$390,9)-(VLOOKUP(Z48,Compsch!$A$11:$I$390,7)))*(VLOOKUP(AD48,MeritSch!$A$5:$B$370,2)),0))</f>
        <v>0</v>
      </c>
      <c r="AF48" s="480">
        <f t="shared" si="18"/>
        <v>0</v>
      </c>
      <c r="AG48" s="605">
        <f t="shared" si="11"/>
        <v>0</v>
      </c>
      <c r="AH48" s="373">
        <f>IF(H48="Y",((((AA48+AB48+AG48)*W48)*Rates!$I$379))/24,(((AA48+AB48+AG48)*W48)/24))</f>
        <v>0</v>
      </c>
      <c r="AI48" s="464">
        <f t="shared" si="12"/>
        <v>0</v>
      </c>
      <c r="AJ48" s="465"/>
      <c r="AK48" s="479">
        <f>IF(H48="Y",(AI48*Rates!$I$379+AJ48),(AI48+AJ48))</f>
        <v>0</v>
      </c>
      <c r="AL48" s="426">
        <f t="shared" si="13"/>
        <v>0</v>
      </c>
      <c r="AM48" s="463">
        <f t="shared" si="3"/>
        <v>0</v>
      </c>
      <c r="AN48" s="37">
        <v>39</v>
      </c>
      <c r="AO48" s="1096"/>
      <c r="AP48" s="1097"/>
      <c r="AQ48" s="387"/>
      <c r="AR48" s="1070"/>
      <c r="AS48" s="387"/>
      <c r="AT48" s="1097"/>
      <c r="AU48" s="428"/>
      <c r="AV48" s="622"/>
      <c r="AW48" s="623"/>
    </row>
    <row r="49" spans="1:49" ht="27" hidden="1" customHeight="1" x14ac:dyDescent="0.2">
      <c r="A49" s="37">
        <v>40</v>
      </c>
      <c r="B49" s="509"/>
      <c r="C49" s="510"/>
      <c r="D49" s="511"/>
      <c r="E49" s="512"/>
      <c r="F49" s="1115"/>
      <c r="G49" s="1110" t="str">
        <f t="shared" si="14"/>
        <v>No</v>
      </c>
      <c r="H49" s="513"/>
      <c r="I49" s="482"/>
      <c r="J49" s="70"/>
      <c r="K49" s="1120">
        <f t="shared" si="4"/>
        <v>0</v>
      </c>
      <c r="L49" s="1125"/>
      <c r="M49" s="396"/>
      <c r="N49" s="593"/>
      <c r="O49" s="354">
        <f t="shared" si="5"/>
        <v>0</v>
      </c>
      <c r="P49" s="355">
        <f>IF(H49="y",(((N49+O49)*Rates!$J$331))/24,((N49+O49)/24))</f>
        <v>0</v>
      </c>
      <c r="Q49" s="355">
        <f t="shared" si="16"/>
        <v>0</v>
      </c>
      <c r="R49" s="101">
        <f>IF(H49="Y",Rates!$I$362*Q49,Q49)</f>
        <v>0</v>
      </c>
      <c r="S49" s="101">
        <f t="shared" si="7"/>
        <v>0</v>
      </c>
      <c r="T49" s="66">
        <f t="shared" si="8"/>
        <v>0</v>
      </c>
      <c r="U49" s="63"/>
      <c r="V49" s="462"/>
      <c r="W49" s="1120">
        <f t="shared" si="9"/>
        <v>0</v>
      </c>
      <c r="X49" s="1125"/>
      <c r="Y49" s="396"/>
      <c r="Z49" s="481"/>
      <c r="AA49" s="480">
        <f>IF(Z49="",0,ROUND(VLOOKUP(Z49,Compsch!$A$10:$B$509,2),2))</f>
        <v>0</v>
      </c>
      <c r="AB49" s="480">
        <f t="shared" si="17"/>
        <v>0</v>
      </c>
      <c r="AC49" s="480">
        <f t="shared" si="10"/>
        <v>0</v>
      </c>
      <c r="AD49" s="1112" t="str">
        <f t="shared" si="15"/>
        <v/>
      </c>
      <c r="AE49" s="459">
        <f>IF(AD49="",0,ROUND((VLOOKUP(Z49,Compsch!$A$11:$I$390,9)-(VLOOKUP(Z49,Compsch!$A$11:$I$390,7)))*(VLOOKUP(AD49,MeritSch!$A$5:$B$370,2)),0))</f>
        <v>0</v>
      </c>
      <c r="AF49" s="480">
        <f t="shared" si="18"/>
        <v>0</v>
      </c>
      <c r="AG49" s="605">
        <f t="shared" si="11"/>
        <v>0</v>
      </c>
      <c r="AH49" s="373">
        <f>IF(H49="Y",((((AA49+AB49+AG49)*W49)*Rates!$I$379))/24,(((AA49+AB49+AG49)*W49)/24))</f>
        <v>0</v>
      </c>
      <c r="AI49" s="464">
        <f t="shared" si="12"/>
        <v>0</v>
      </c>
      <c r="AJ49" s="465"/>
      <c r="AK49" s="479">
        <f>IF(H49="Y",(AI49*Rates!$I$379+AJ49),(AI49+AJ49))</f>
        <v>0</v>
      </c>
      <c r="AL49" s="426">
        <f t="shared" si="13"/>
        <v>0</v>
      </c>
      <c r="AM49" s="463">
        <f t="shared" si="3"/>
        <v>0</v>
      </c>
      <c r="AN49" s="37">
        <v>40</v>
      </c>
      <c r="AO49" s="1096"/>
      <c r="AP49" s="1097"/>
      <c r="AQ49" s="387"/>
      <c r="AR49" s="1070"/>
      <c r="AS49" s="387"/>
      <c r="AT49" s="1097"/>
      <c r="AU49" s="428"/>
      <c r="AV49" s="622"/>
      <c r="AW49" s="623"/>
    </row>
    <row r="50" spans="1:49" ht="27" hidden="1" customHeight="1" x14ac:dyDescent="0.2">
      <c r="A50" s="37">
        <v>41</v>
      </c>
      <c r="B50" s="509"/>
      <c r="C50" s="510"/>
      <c r="D50" s="511"/>
      <c r="E50" s="512"/>
      <c r="F50" s="1115"/>
      <c r="G50" s="1110" t="str">
        <f t="shared" si="14"/>
        <v>No</v>
      </c>
      <c r="H50" s="513"/>
      <c r="I50" s="482"/>
      <c r="J50" s="70"/>
      <c r="K50" s="1120">
        <f t="shared" si="4"/>
        <v>0</v>
      </c>
      <c r="L50" s="1125"/>
      <c r="M50" s="396"/>
      <c r="N50" s="593"/>
      <c r="O50" s="354">
        <f t="shared" si="5"/>
        <v>0</v>
      </c>
      <c r="P50" s="355">
        <f>IF(H50="y",(((N50+O50)*Rates!$J$331))/24,((N50+O50)/24))</f>
        <v>0</v>
      </c>
      <c r="Q50" s="355">
        <f t="shared" si="16"/>
        <v>0</v>
      </c>
      <c r="R50" s="101">
        <f>IF(H50="Y",Rates!$I$362*Q50,Q50)</f>
        <v>0</v>
      </c>
      <c r="S50" s="101">
        <f t="shared" si="7"/>
        <v>0</v>
      </c>
      <c r="T50" s="66">
        <f t="shared" si="8"/>
        <v>0</v>
      </c>
      <c r="U50" s="63"/>
      <c r="V50" s="462"/>
      <c r="W50" s="1120">
        <f t="shared" si="9"/>
        <v>0</v>
      </c>
      <c r="X50" s="1125"/>
      <c r="Y50" s="396"/>
      <c r="Z50" s="481"/>
      <c r="AA50" s="480">
        <f>IF(Z50="",0,ROUND(VLOOKUP(Z50,Compsch!$A$10:$B$509,2),2))</f>
        <v>0</v>
      </c>
      <c r="AB50" s="480">
        <f t="shared" si="17"/>
        <v>0</v>
      </c>
      <c r="AC50" s="480">
        <f t="shared" si="10"/>
        <v>0</v>
      </c>
      <c r="AD50" s="1112" t="str">
        <f t="shared" si="15"/>
        <v/>
      </c>
      <c r="AE50" s="459">
        <f>IF(AD50="",0,ROUND((VLOOKUP(Z50,Compsch!$A$11:$I$390,9)-(VLOOKUP(Z50,Compsch!$A$11:$I$390,7)))*(VLOOKUP(AD50,MeritSch!$A$5:$B$370,2)),0))</f>
        <v>0</v>
      </c>
      <c r="AF50" s="480">
        <f t="shared" si="18"/>
        <v>0</v>
      </c>
      <c r="AG50" s="605">
        <f t="shared" si="11"/>
        <v>0</v>
      </c>
      <c r="AH50" s="373">
        <f>IF(H50="Y",((((AA50+AB50+AG50)*W50)*Rates!$I$379))/24,(((AA50+AB50+AG50)*W50)/24))</f>
        <v>0</v>
      </c>
      <c r="AI50" s="464">
        <f t="shared" si="12"/>
        <v>0</v>
      </c>
      <c r="AJ50" s="465"/>
      <c r="AK50" s="479">
        <f>IF(H50="Y",(AI50*Rates!$I$379+AJ50),(AI50+AJ50))</f>
        <v>0</v>
      </c>
      <c r="AL50" s="426">
        <f t="shared" si="13"/>
        <v>0</v>
      </c>
      <c r="AM50" s="463">
        <f t="shared" si="3"/>
        <v>0</v>
      </c>
      <c r="AN50" s="37">
        <v>41</v>
      </c>
      <c r="AO50" s="1096"/>
      <c r="AP50" s="1097"/>
      <c r="AQ50" s="387"/>
      <c r="AR50" s="1070"/>
      <c r="AS50" s="387"/>
      <c r="AT50" s="1097"/>
      <c r="AU50" s="428"/>
      <c r="AV50" s="622"/>
      <c r="AW50" s="623"/>
    </row>
    <row r="51" spans="1:49" ht="27" hidden="1" customHeight="1" x14ac:dyDescent="0.2">
      <c r="A51" s="37">
        <v>42</v>
      </c>
      <c r="B51" s="509"/>
      <c r="C51" s="510"/>
      <c r="D51" s="511"/>
      <c r="E51" s="512"/>
      <c r="F51" s="1115"/>
      <c r="G51" s="1110" t="str">
        <f t="shared" si="14"/>
        <v>No</v>
      </c>
      <c r="H51" s="513"/>
      <c r="I51" s="482"/>
      <c r="J51" s="70"/>
      <c r="K51" s="1120">
        <f t="shared" si="4"/>
        <v>0</v>
      </c>
      <c r="L51" s="1125"/>
      <c r="M51" s="396"/>
      <c r="N51" s="593"/>
      <c r="O51" s="354">
        <f t="shared" si="5"/>
        <v>0</v>
      </c>
      <c r="P51" s="355">
        <f>IF(H51="y",(((N51+O51)*Rates!$J$331))/24,((N51+O51)/24))</f>
        <v>0</v>
      </c>
      <c r="Q51" s="355">
        <f t="shared" si="16"/>
        <v>0</v>
      </c>
      <c r="R51" s="101">
        <f>IF(H51="Y",Rates!$I$362*Q51,Q51)</f>
        <v>0</v>
      </c>
      <c r="S51" s="101">
        <f t="shared" si="7"/>
        <v>0</v>
      </c>
      <c r="T51" s="66">
        <f t="shared" si="8"/>
        <v>0</v>
      </c>
      <c r="U51" s="63"/>
      <c r="V51" s="462"/>
      <c r="W51" s="1120">
        <f t="shared" si="9"/>
        <v>0</v>
      </c>
      <c r="X51" s="1125"/>
      <c r="Y51" s="396"/>
      <c r="Z51" s="481"/>
      <c r="AA51" s="480">
        <f>IF(Z51="",0,ROUND(VLOOKUP(Z51,Compsch!$A$10:$B$509,2),2))</f>
        <v>0</v>
      </c>
      <c r="AB51" s="480">
        <f t="shared" si="17"/>
        <v>0</v>
      </c>
      <c r="AC51" s="480">
        <f t="shared" si="10"/>
        <v>0</v>
      </c>
      <c r="AD51" s="1112" t="str">
        <f t="shared" si="15"/>
        <v/>
      </c>
      <c r="AE51" s="459">
        <f>IF(AD51="",0,ROUND((VLOOKUP(Z51,Compsch!$A$11:$I$390,9)-(VLOOKUP(Z51,Compsch!$A$11:$I$390,7)))*(VLOOKUP(AD51,MeritSch!$A$5:$B$370,2)),0))</f>
        <v>0</v>
      </c>
      <c r="AF51" s="480">
        <f t="shared" si="18"/>
        <v>0</v>
      </c>
      <c r="AG51" s="605">
        <f t="shared" si="11"/>
        <v>0</v>
      </c>
      <c r="AH51" s="373">
        <f>IF(H51="Y",((((AA51+AB51+AG51)*W51)*Rates!$I$379))/24,(((AA51+AB51+AG51)*W51)/24))</f>
        <v>0</v>
      </c>
      <c r="AI51" s="464">
        <f t="shared" si="12"/>
        <v>0</v>
      </c>
      <c r="AJ51" s="465"/>
      <c r="AK51" s="479">
        <f>IF(H51="Y",(AI51*Rates!$I$379+AJ51),(AI51+AJ51))</f>
        <v>0</v>
      </c>
      <c r="AL51" s="426">
        <f t="shared" si="13"/>
        <v>0</v>
      </c>
      <c r="AM51" s="463">
        <f t="shared" si="3"/>
        <v>0</v>
      </c>
      <c r="AN51" s="37">
        <v>42</v>
      </c>
      <c r="AO51" s="1096"/>
      <c r="AP51" s="1097"/>
      <c r="AQ51" s="387"/>
      <c r="AR51" s="1070"/>
      <c r="AS51" s="387"/>
      <c r="AT51" s="1097"/>
      <c r="AU51" s="428"/>
      <c r="AV51" s="622"/>
      <c r="AW51" s="623"/>
    </row>
    <row r="52" spans="1:49" ht="27" hidden="1" customHeight="1" x14ac:dyDescent="0.2">
      <c r="A52" s="37">
        <v>43</v>
      </c>
      <c r="B52" s="509"/>
      <c r="C52" s="510"/>
      <c r="D52" s="511"/>
      <c r="E52" s="512"/>
      <c r="F52" s="1115"/>
      <c r="G52" s="1110" t="str">
        <f t="shared" si="14"/>
        <v>No</v>
      </c>
      <c r="H52" s="513"/>
      <c r="I52" s="482"/>
      <c r="J52" s="70"/>
      <c r="K52" s="1120">
        <f t="shared" si="4"/>
        <v>0</v>
      </c>
      <c r="L52" s="1125"/>
      <c r="M52" s="396"/>
      <c r="N52" s="593"/>
      <c r="O52" s="354">
        <f t="shared" si="5"/>
        <v>0</v>
      </c>
      <c r="P52" s="355">
        <f>IF(H52="y",(((N52+O52)*Rates!$J$331))/24,((N52+O52)/24))</f>
        <v>0</v>
      </c>
      <c r="Q52" s="355">
        <f t="shared" si="16"/>
        <v>0</v>
      </c>
      <c r="R52" s="101">
        <f>IF(H52="Y",Rates!$I$362*Q52,Q52)</f>
        <v>0</v>
      </c>
      <c r="S52" s="101">
        <f t="shared" si="7"/>
        <v>0</v>
      </c>
      <c r="T52" s="66">
        <f t="shared" si="8"/>
        <v>0</v>
      </c>
      <c r="U52" s="63"/>
      <c r="V52" s="462"/>
      <c r="W52" s="1120">
        <f t="shared" si="9"/>
        <v>0</v>
      </c>
      <c r="X52" s="1125"/>
      <c r="Y52" s="396"/>
      <c r="Z52" s="481"/>
      <c r="AA52" s="480">
        <f>IF(Z52="",0,ROUND(VLOOKUP(Z52,Compsch!$A$10:$B$509,2),2))</f>
        <v>0</v>
      </c>
      <c r="AB52" s="480">
        <f t="shared" si="17"/>
        <v>0</v>
      </c>
      <c r="AC52" s="480">
        <f t="shared" si="10"/>
        <v>0</v>
      </c>
      <c r="AD52" s="1112" t="str">
        <f t="shared" si="15"/>
        <v/>
      </c>
      <c r="AE52" s="459">
        <f>IF(AD52="",0,ROUND((VLOOKUP(Z52,Compsch!$A$11:$I$390,9)-(VLOOKUP(Z52,Compsch!$A$11:$I$390,7)))*(VLOOKUP(AD52,MeritSch!$A$5:$B$370,2)),0))</f>
        <v>0</v>
      </c>
      <c r="AF52" s="480">
        <f t="shared" si="18"/>
        <v>0</v>
      </c>
      <c r="AG52" s="605">
        <f t="shared" si="11"/>
        <v>0</v>
      </c>
      <c r="AH52" s="373">
        <f>IF(H52="Y",((((AA52+AB52+AG52)*W52)*Rates!$I$379))/24,(((AA52+AB52+AG52)*W52)/24))</f>
        <v>0</v>
      </c>
      <c r="AI52" s="464">
        <f t="shared" si="12"/>
        <v>0</v>
      </c>
      <c r="AJ52" s="465"/>
      <c r="AK52" s="479">
        <f>IF(H52="Y",(AI52*Rates!$I$379+AJ52),(AI52+AJ52))</f>
        <v>0</v>
      </c>
      <c r="AL52" s="426">
        <f t="shared" si="13"/>
        <v>0</v>
      </c>
      <c r="AM52" s="463">
        <f t="shared" si="3"/>
        <v>0</v>
      </c>
      <c r="AN52" s="37">
        <v>43</v>
      </c>
      <c r="AO52" s="1096"/>
      <c r="AP52" s="1097"/>
      <c r="AQ52" s="387"/>
      <c r="AR52" s="1070"/>
      <c r="AS52" s="387"/>
      <c r="AT52" s="1097"/>
      <c r="AU52" s="428"/>
      <c r="AV52" s="622"/>
      <c r="AW52" s="623"/>
    </row>
    <row r="53" spans="1:49" ht="27" hidden="1" customHeight="1" x14ac:dyDescent="0.2">
      <c r="A53" s="37">
        <v>44</v>
      </c>
      <c r="B53" s="509"/>
      <c r="C53" s="510"/>
      <c r="D53" s="511"/>
      <c r="E53" s="512"/>
      <c r="F53" s="1115"/>
      <c r="G53" s="1110" t="str">
        <f t="shared" si="14"/>
        <v>No</v>
      </c>
      <c r="H53" s="513"/>
      <c r="I53" s="482"/>
      <c r="J53" s="70"/>
      <c r="K53" s="1120">
        <f t="shared" si="4"/>
        <v>0</v>
      </c>
      <c r="L53" s="1125"/>
      <c r="M53" s="396"/>
      <c r="N53" s="593"/>
      <c r="O53" s="354">
        <f t="shared" si="5"/>
        <v>0</v>
      </c>
      <c r="P53" s="355">
        <f>IF(H53="y",(((N53+O53)*Rates!$J$331))/24,((N53+O53)/24))</f>
        <v>0</v>
      </c>
      <c r="Q53" s="355">
        <f t="shared" si="16"/>
        <v>0</v>
      </c>
      <c r="R53" s="101">
        <f>IF(H53="Y",Rates!$I$362*Q53,Q53)</f>
        <v>0</v>
      </c>
      <c r="S53" s="101">
        <f t="shared" si="7"/>
        <v>0</v>
      </c>
      <c r="T53" s="66">
        <f t="shared" si="8"/>
        <v>0</v>
      </c>
      <c r="U53" s="63"/>
      <c r="V53" s="462"/>
      <c r="W53" s="1120">
        <f t="shared" si="9"/>
        <v>0</v>
      </c>
      <c r="X53" s="1125"/>
      <c r="Y53" s="396"/>
      <c r="Z53" s="481"/>
      <c r="AA53" s="480">
        <f>IF(Z53="",0,ROUND(VLOOKUP(Z53,Compsch!$A$10:$B$509,2),2))</f>
        <v>0</v>
      </c>
      <c r="AB53" s="480">
        <f t="shared" si="17"/>
        <v>0</v>
      </c>
      <c r="AC53" s="480">
        <f t="shared" si="10"/>
        <v>0</v>
      </c>
      <c r="AD53" s="1112" t="str">
        <f t="shared" si="15"/>
        <v/>
      </c>
      <c r="AE53" s="459">
        <f>IF(AD53="",0,ROUND((VLOOKUP(Z53,Compsch!$A$11:$I$390,9)-(VLOOKUP(Z53,Compsch!$A$11:$I$390,7)))*(VLOOKUP(AD53,MeritSch!$A$5:$B$370,2)),0))</f>
        <v>0</v>
      </c>
      <c r="AF53" s="480">
        <f t="shared" si="18"/>
        <v>0</v>
      </c>
      <c r="AG53" s="605">
        <f t="shared" si="11"/>
        <v>0</v>
      </c>
      <c r="AH53" s="373">
        <f>IF(H53="Y",((((AA53+AB53+AG53)*W53)*Rates!$I$379))/24,(((AA53+AB53+AG53)*W53)/24))</f>
        <v>0</v>
      </c>
      <c r="AI53" s="464">
        <f t="shared" si="12"/>
        <v>0</v>
      </c>
      <c r="AJ53" s="465"/>
      <c r="AK53" s="479">
        <f>IF(H53="Y",(AI53*Rates!$I$379+AJ53),(AI53+AJ53))</f>
        <v>0</v>
      </c>
      <c r="AL53" s="426">
        <f t="shared" si="13"/>
        <v>0</v>
      </c>
      <c r="AM53" s="463">
        <f t="shared" si="3"/>
        <v>0</v>
      </c>
      <c r="AN53" s="37">
        <v>44</v>
      </c>
      <c r="AO53" s="1096"/>
      <c r="AP53" s="1097"/>
      <c r="AQ53" s="387"/>
      <c r="AR53" s="1070"/>
      <c r="AS53" s="387"/>
      <c r="AT53" s="1097"/>
      <c r="AU53" s="428"/>
      <c r="AV53" s="622"/>
      <c r="AW53" s="623"/>
    </row>
    <row r="54" spans="1:49" ht="27" hidden="1" customHeight="1" x14ac:dyDescent="0.2">
      <c r="A54" s="37">
        <v>45</v>
      </c>
      <c r="B54" s="509"/>
      <c r="C54" s="510"/>
      <c r="D54" s="511"/>
      <c r="E54" s="512"/>
      <c r="F54" s="1115"/>
      <c r="G54" s="1110" t="str">
        <f t="shared" si="14"/>
        <v>No</v>
      </c>
      <c r="H54" s="513"/>
      <c r="I54" s="482"/>
      <c r="J54" s="70"/>
      <c r="K54" s="1120">
        <f t="shared" si="4"/>
        <v>0</v>
      </c>
      <c r="L54" s="1125"/>
      <c r="M54" s="396"/>
      <c r="N54" s="593"/>
      <c r="O54" s="354">
        <f t="shared" si="5"/>
        <v>0</v>
      </c>
      <c r="P54" s="355">
        <f>IF(H54="y",(((N54+O54)*Rates!$J$331))/24,((N54+O54)/24))</f>
        <v>0</v>
      </c>
      <c r="Q54" s="355">
        <f t="shared" si="16"/>
        <v>0</v>
      </c>
      <c r="R54" s="101">
        <f>IF(H54="Y",Rates!$I$362*Q54,Q54)</f>
        <v>0</v>
      </c>
      <c r="S54" s="101">
        <f t="shared" si="7"/>
        <v>0</v>
      </c>
      <c r="T54" s="66">
        <f t="shared" si="8"/>
        <v>0</v>
      </c>
      <c r="U54" s="63"/>
      <c r="V54" s="462"/>
      <c r="W54" s="1120">
        <f t="shared" si="9"/>
        <v>0</v>
      </c>
      <c r="X54" s="1125"/>
      <c r="Y54" s="396"/>
      <c r="Z54" s="481"/>
      <c r="AA54" s="480">
        <f>IF(Z54="",0,ROUND(VLOOKUP(Z54,Compsch!$A$10:$B$509,2),2))</f>
        <v>0</v>
      </c>
      <c r="AB54" s="480">
        <f t="shared" si="17"/>
        <v>0</v>
      </c>
      <c r="AC54" s="480">
        <f t="shared" si="10"/>
        <v>0</v>
      </c>
      <c r="AD54" s="1112" t="str">
        <f t="shared" si="15"/>
        <v/>
      </c>
      <c r="AE54" s="459">
        <f>IF(AD54="",0,ROUND((VLOOKUP(Z54,Compsch!$A$11:$I$390,9)-(VLOOKUP(Z54,Compsch!$A$11:$I$390,7)))*(VLOOKUP(AD54,MeritSch!$A$5:$B$370,2)),0))</f>
        <v>0</v>
      </c>
      <c r="AF54" s="480">
        <f t="shared" si="18"/>
        <v>0</v>
      </c>
      <c r="AG54" s="605">
        <f t="shared" si="11"/>
        <v>0</v>
      </c>
      <c r="AH54" s="373">
        <f>IF(H54="Y",((((AA54+AB54+AG54)*W54)*Rates!$I$379))/24,(((AA54+AB54+AG54)*W54)/24))</f>
        <v>0</v>
      </c>
      <c r="AI54" s="464">
        <f t="shared" si="12"/>
        <v>0</v>
      </c>
      <c r="AJ54" s="465"/>
      <c r="AK54" s="479">
        <f>IF(H54="Y",(AI54*Rates!$I$379+AJ54),(AI54+AJ54))</f>
        <v>0</v>
      </c>
      <c r="AL54" s="426">
        <f t="shared" si="13"/>
        <v>0</v>
      </c>
      <c r="AM54" s="463">
        <f t="shared" si="3"/>
        <v>0</v>
      </c>
      <c r="AN54" s="37">
        <v>45</v>
      </c>
      <c r="AO54" s="1096"/>
      <c r="AP54" s="1097"/>
      <c r="AQ54" s="387"/>
      <c r="AR54" s="1070"/>
      <c r="AS54" s="387"/>
      <c r="AT54" s="1097"/>
      <c r="AU54" s="428"/>
      <c r="AV54" s="622"/>
      <c r="AW54" s="623"/>
    </row>
    <row r="55" spans="1:49" ht="27" hidden="1" customHeight="1" x14ac:dyDescent="0.2">
      <c r="A55" s="37">
        <v>46</v>
      </c>
      <c r="B55" s="509"/>
      <c r="C55" s="510"/>
      <c r="D55" s="511"/>
      <c r="E55" s="512"/>
      <c r="F55" s="1115"/>
      <c r="G55" s="1110" t="str">
        <f t="shared" si="14"/>
        <v>No</v>
      </c>
      <c r="H55" s="513"/>
      <c r="I55" s="482"/>
      <c r="J55" s="70"/>
      <c r="K55" s="1120">
        <f t="shared" si="4"/>
        <v>0</v>
      </c>
      <c r="L55" s="1125"/>
      <c r="M55" s="396"/>
      <c r="N55" s="593"/>
      <c r="O55" s="354">
        <f t="shared" si="5"/>
        <v>0</v>
      </c>
      <c r="P55" s="355">
        <f>IF(H55="y",(((N55+O55)*Rates!$J$331))/24,((N55+O55)/24))</f>
        <v>0</v>
      </c>
      <c r="Q55" s="355">
        <f t="shared" si="16"/>
        <v>0</v>
      </c>
      <c r="R55" s="101">
        <f>IF(H55="Y",Rates!$I$362*Q55,Q55)</f>
        <v>0</v>
      </c>
      <c r="S55" s="101">
        <f t="shared" si="7"/>
        <v>0</v>
      </c>
      <c r="T55" s="66">
        <f t="shared" si="8"/>
        <v>0</v>
      </c>
      <c r="U55" s="63"/>
      <c r="V55" s="462"/>
      <c r="W55" s="1120">
        <f t="shared" si="9"/>
        <v>0</v>
      </c>
      <c r="X55" s="1125"/>
      <c r="Y55" s="396"/>
      <c r="Z55" s="481"/>
      <c r="AA55" s="480">
        <f>IF(Z55="",0,ROUND(VLOOKUP(Z55,Compsch!$A$10:$B$509,2),2))</f>
        <v>0</v>
      </c>
      <c r="AB55" s="480">
        <f t="shared" si="17"/>
        <v>0</v>
      </c>
      <c r="AC55" s="480">
        <f t="shared" si="10"/>
        <v>0</v>
      </c>
      <c r="AD55" s="1112" t="str">
        <f t="shared" si="15"/>
        <v/>
      </c>
      <c r="AE55" s="459">
        <f>IF(AD55="",0,ROUND((VLOOKUP(Z55,Compsch!$A$11:$I$390,9)-(VLOOKUP(Z55,Compsch!$A$11:$I$390,7)))*(VLOOKUP(AD55,MeritSch!$A$5:$B$370,2)),0))</f>
        <v>0</v>
      </c>
      <c r="AF55" s="480">
        <f t="shared" si="18"/>
        <v>0</v>
      </c>
      <c r="AG55" s="605">
        <f t="shared" si="11"/>
        <v>0</v>
      </c>
      <c r="AH55" s="373">
        <f>IF(H55="Y",((((AA55+AB55+AG55)*W55)*Rates!$I$379))/24,(((AA55+AB55+AG55)*W55)/24))</f>
        <v>0</v>
      </c>
      <c r="AI55" s="464">
        <f t="shared" si="12"/>
        <v>0</v>
      </c>
      <c r="AJ55" s="465"/>
      <c r="AK55" s="479">
        <f>IF(H55="Y",(AI55*Rates!$I$379+AJ55),(AI55+AJ55))</f>
        <v>0</v>
      </c>
      <c r="AL55" s="426">
        <f t="shared" si="13"/>
        <v>0</v>
      </c>
      <c r="AM55" s="463">
        <f t="shared" si="3"/>
        <v>0</v>
      </c>
      <c r="AN55" s="37">
        <v>46</v>
      </c>
      <c r="AO55" s="1096"/>
      <c r="AP55" s="1097"/>
      <c r="AQ55" s="387"/>
      <c r="AR55" s="1070"/>
      <c r="AS55" s="387"/>
      <c r="AT55" s="1097"/>
      <c r="AU55" s="428"/>
      <c r="AV55" s="622"/>
      <c r="AW55" s="623"/>
    </row>
    <row r="56" spans="1:49" ht="27" hidden="1" customHeight="1" x14ac:dyDescent="0.2">
      <c r="A56" s="37">
        <v>47</v>
      </c>
      <c r="B56" s="509"/>
      <c r="C56" s="510"/>
      <c r="D56" s="511"/>
      <c r="E56" s="512"/>
      <c r="F56" s="1115"/>
      <c r="G56" s="1110" t="str">
        <f t="shared" si="14"/>
        <v>No</v>
      </c>
      <c r="H56" s="513"/>
      <c r="I56" s="482"/>
      <c r="J56" s="70"/>
      <c r="K56" s="1120">
        <f t="shared" si="4"/>
        <v>0</v>
      </c>
      <c r="L56" s="1125"/>
      <c r="M56" s="396"/>
      <c r="N56" s="593"/>
      <c r="O56" s="354">
        <f t="shared" si="5"/>
        <v>0</v>
      </c>
      <c r="P56" s="355">
        <f>IF(H56="y",(((N56+O56)*Rates!$J$331))/24,((N56+O56)/24))</f>
        <v>0</v>
      </c>
      <c r="Q56" s="355">
        <f t="shared" si="16"/>
        <v>0</v>
      </c>
      <c r="R56" s="101">
        <f>IF(H56="Y",Rates!$I$362*Q56,Q56)</f>
        <v>0</v>
      </c>
      <c r="S56" s="101">
        <f t="shared" si="7"/>
        <v>0</v>
      </c>
      <c r="T56" s="66">
        <f t="shared" si="8"/>
        <v>0</v>
      </c>
      <c r="U56" s="63"/>
      <c r="V56" s="462"/>
      <c r="W56" s="1120">
        <f t="shared" si="9"/>
        <v>0</v>
      </c>
      <c r="X56" s="1125"/>
      <c r="Y56" s="396"/>
      <c r="Z56" s="481"/>
      <c r="AA56" s="480">
        <f>IF(Z56="",0,ROUND(VLOOKUP(Z56,Compsch!$A$10:$B$509,2),2))</f>
        <v>0</v>
      </c>
      <c r="AB56" s="480">
        <f t="shared" si="17"/>
        <v>0</v>
      </c>
      <c r="AC56" s="480">
        <f t="shared" si="10"/>
        <v>0</v>
      </c>
      <c r="AD56" s="1112" t="str">
        <f t="shared" si="15"/>
        <v/>
      </c>
      <c r="AE56" s="459">
        <f>IF(AD56="",0,ROUND((VLOOKUP(Z56,Compsch!$A$11:$I$390,9)-(VLOOKUP(Z56,Compsch!$A$11:$I$390,7)))*(VLOOKUP(AD56,MeritSch!$A$5:$B$370,2)),0))</f>
        <v>0</v>
      </c>
      <c r="AF56" s="480">
        <f t="shared" si="18"/>
        <v>0</v>
      </c>
      <c r="AG56" s="605">
        <f t="shared" si="11"/>
        <v>0</v>
      </c>
      <c r="AH56" s="373">
        <f>IF(H56="Y",((((AA56+AB56+AG56)*W56)*Rates!$I$379))/24,(((AA56+AB56+AG56)*W56)/24))</f>
        <v>0</v>
      </c>
      <c r="AI56" s="464">
        <f t="shared" si="12"/>
        <v>0</v>
      </c>
      <c r="AJ56" s="465"/>
      <c r="AK56" s="479">
        <f>IF(H56="Y",(AI56*Rates!$I$379+AJ56),(AI56+AJ56))</f>
        <v>0</v>
      </c>
      <c r="AL56" s="426">
        <f t="shared" si="13"/>
        <v>0</v>
      </c>
      <c r="AM56" s="463">
        <f t="shared" si="3"/>
        <v>0</v>
      </c>
      <c r="AN56" s="37">
        <v>47</v>
      </c>
      <c r="AO56" s="1096"/>
      <c r="AP56" s="1097"/>
      <c r="AQ56" s="387"/>
      <c r="AR56" s="1070"/>
      <c r="AS56" s="387"/>
      <c r="AT56" s="1097"/>
      <c r="AU56" s="428"/>
      <c r="AV56" s="622"/>
      <c r="AW56" s="623"/>
    </row>
    <row r="57" spans="1:49" ht="27" hidden="1" customHeight="1" x14ac:dyDescent="0.2">
      <c r="A57" s="37">
        <v>48</v>
      </c>
      <c r="B57" s="509"/>
      <c r="C57" s="510"/>
      <c r="D57" s="511"/>
      <c r="E57" s="512"/>
      <c r="F57" s="1115"/>
      <c r="G57" s="1110" t="str">
        <f t="shared" si="14"/>
        <v>No</v>
      </c>
      <c r="H57" s="513"/>
      <c r="I57" s="482"/>
      <c r="J57" s="70"/>
      <c r="K57" s="1120">
        <f t="shared" si="4"/>
        <v>0</v>
      </c>
      <c r="L57" s="1125"/>
      <c r="M57" s="396"/>
      <c r="N57" s="593"/>
      <c r="O57" s="354">
        <f t="shared" si="5"/>
        <v>0</v>
      </c>
      <c r="P57" s="355">
        <f>IF(H57="y",(((N57+O57)*Rates!$J$331))/24,((N57+O57)/24))</f>
        <v>0</v>
      </c>
      <c r="Q57" s="355">
        <f t="shared" si="16"/>
        <v>0</v>
      </c>
      <c r="R57" s="101">
        <f>IF(H57="Y",Rates!$I$362*Q57,Q57)</f>
        <v>0</v>
      </c>
      <c r="S57" s="101">
        <f t="shared" si="7"/>
        <v>0</v>
      </c>
      <c r="T57" s="66">
        <f t="shared" si="8"/>
        <v>0</v>
      </c>
      <c r="U57" s="63"/>
      <c r="V57" s="462"/>
      <c r="W57" s="1120">
        <f t="shared" si="9"/>
        <v>0</v>
      </c>
      <c r="X57" s="1125"/>
      <c r="Y57" s="396"/>
      <c r="Z57" s="481"/>
      <c r="AA57" s="480">
        <f>IF(Z57="",0,ROUND(VLOOKUP(Z57,Compsch!$A$10:$B$509,2),2))</f>
        <v>0</v>
      </c>
      <c r="AB57" s="480">
        <f t="shared" si="17"/>
        <v>0</v>
      </c>
      <c r="AC57" s="480">
        <f t="shared" si="10"/>
        <v>0</v>
      </c>
      <c r="AD57" s="1112" t="str">
        <f t="shared" si="15"/>
        <v/>
      </c>
      <c r="AE57" s="459">
        <f>IF(AD57="",0,ROUND((VLOOKUP(Z57,Compsch!$A$11:$I$390,9)-(VLOOKUP(Z57,Compsch!$A$11:$I$390,7)))*(VLOOKUP(AD57,MeritSch!$A$5:$B$370,2)),0))</f>
        <v>0</v>
      </c>
      <c r="AF57" s="480">
        <f t="shared" si="18"/>
        <v>0</v>
      </c>
      <c r="AG57" s="605">
        <f t="shared" si="11"/>
        <v>0</v>
      </c>
      <c r="AH57" s="373">
        <f>IF(H57="Y",((((AA57+AB57+AG57)*W57)*Rates!$I$379))/24,(((AA57+AB57+AG57)*W57)/24))</f>
        <v>0</v>
      </c>
      <c r="AI57" s="464">
        <f t="shared" si="12"/>
        <v>0</v>
      </c>
      <c r="AJ57" s="465"/>
      <c r="AK57" s="479">
        <f>IF(H57="Y",(AI57*Rates!$I$379+AJ57),(AI57+AJ57))</f>
        <v>0</v>
      </c>
      <c r="AL57" s="426">
        <f t="shared" si="13"/>
        <v>0</v>
      </c>
      <c r="AM57" s="463">
        <f t="shared" si="3"/>
        <v>0</v>
      </c>
      <c r="AN57" s="37">
        <v>48</v>
      </c>
      <c r="AO57" s="1096"/>
      <c r="AP57" s="1097"/>
      <c r="AQ57" s="387"/>
      <c r="AR57" s="1070"/>
      <c r="AS57" s="387"/>
      <c r="AT57" s="1097"/>
      <c r="AU57" s="428"/>
      <c r="AV57" s="622"/>
      <c r="AW57" s="623"/>
    </row>
    <row r="58" spans="1:49" ht="27" hidden="1" customHeight="1" x14ac:dyDescent="0.2">
      <c r="A58" s="37">
        <v>49</v>
      </c>
      <c r="B58" s="509"/>
      <c r="C58" s="510"/>
      <c r="D58" s="511"/>
      <c r="E58" s="512"/>
      <c r="F58" s="1115"/>
      <c r="G58" s="1110" t="str">
        <f t="shared" si="14"/>
        <v>No</v>
      </c>
      <c r="H58" s="513"/>
      <c r="I58" s="482"/>
      <c r="J58" s="70"/>
      <c r="K58" s="1120">
        <f t="shared" si="4"/>
        <v>0</v>
      </c>
      <c r="L58" s="1125"/>
      <c r="M58" s="396"/>
      <c r="N58" s="593"/>
      <c r="O58" s="354">
        <f t="shared" si="5"/>
        <v>0</v>
      </c>
      <c r="P58" s="355">
        <f>IF(H58="y",(((N58+O58)*Rates!$J$331))/24,((N58+O58)/24))</f>
        <v>0</v>
      </c>
      <c r="Q58" s="355">
        <f t="shared" si="16"/>
        <v>0</v>
      </c>
      <c r="R58" s="101">
        <f>IF(H58="Y",Rates!$I$362*Q58,Q58)</f>
        <v>0</v>
      </c>
      <c r="S58" s="101">
        <f t="shared" si="7"/>
        <v>0</v>
      </c>
      <c r="T58" s="66">
        <f t="shared" si="8"/>
        <v>0</v>
      </c>
      <c r="U58" s="63"/>
      <c r="V58" s="462"/>
      <c r="W58" s="1120">
        <f t="shared" si="9"/>
        <v>0</v>
      </c>
      <c r="X58" s="1125"/>
      <c r="Y58" s="396"/>
      <c r="Z58" s="481"/>
      <c r="AA58" s="480">
        <f>IF(Z58="",0,ROUND(VLOOKUP(Z58,Compsch!$A$10:$B$509,2),2))</f>
        <v>0</v>
      </c>
      <c r="AB58" s="480">
        <f t="shared" si="17"/>
        <v>0</v>
      </c>
      <c r="AC58" s="480">
        <f t="shared" si="10"/>
        <v>0</v>
      </c>
      <c r="AD58" s="1112" t="str">
        <f t="shared" si="15"/>
        <v/>
      </c>
      <c r="AE58" s="459">
        <f>IF(AD58="",0,ROUND((VLOOKUP(Z58,Compsch!$A$11:$I$390,9)-(VLOOKUP(Z58,Compsch!$A$11:$I$390,7)))*(VLOOKUP(AD58,MeritSch!$A$5:$B$370,2)),0))</f>
        <v>0</v>
      </c>
      <c r="AF58" s="480">
        <f t="shared" si="18"/>
        <v>0</v>
      </c>
      <c r="AG58" s="605">
        <f t="shared" si="11"/>
        <v>0</v>
      </c>
      <c r="AH58" s="373">
        <f>IF(H58="Y",((((AA58+AB58+AG58)*W58)*Rates!$I$379))/24,(((AA58+AB58+AG58)*W58)/24))</f>
        <v>0</v>
      </c>
      <c r="AI58" s="464">
        <f t="shared" si="12"/>
        <v>0</v>
      </c>
      <c r="AJ58" s="465"/>
      <c r="AK58" s="479">
        <f>IF(H58="Y",(AI58*Rates!$I$379+AJ58),(AI58+AJ58))</f>
        <v>0</v>
      </c>
      <c r="AL58" s="426">
        <f t="shared" si="13"/>
        <v>0</v>
      </c>
      <c r="AM58" s="463">
        <f t="shared" si="3"/>
        <v>0</v>
      </c>
      <c r="AN58" s="37">
        <v>49</v>
      </c>
      <c r="AO58" s="1096"/>
      <c r="AP58" s="1097"/>
      <c r="AQ58" s="387"/>
      <c r="AR58" s="1070"/>
      <c r="AS58" s="387"/>
      <c r="AT58" s="1097"/>
      <c r="AU58" s="428"/>
      <c r="AV58" s="622"/>
      <c r="AW58" s="623"/>
    </row>
    <row r="59" spans="1:49" ht="27" hidden="1" customHeight="1" x14ac:dyDescent="0.2">
      <c r="A59" s="37">
        <v>50</v>
      </c>
      <c r="B59" s="509"/>
      <c r="C59" s="510"/>
      <c r="D59" s="511"/>
      <c r="E59" s="512"/>
      <c r="F59" s="1115"/>
      <c r="G59" s="1110" t="str">
        <f t="shared" si="14"/>
        <v>No</v>
      </c>
      <c r="H59" s="513"/>
      <c r="I59" s="482"/>
      <c r="J59" s="70"/>
      <c r="K59" s="1120">
        <f t="shared" si="4"/>
        <v>0</v>
      </c>
      <c r="L59" s="1125"/>
      <c r="M59" s="396"/>
      <c r="N59" s="593"/>
      <c r="O59" s="354">
        <f t="shared" si="5"/>
        <v>0</v>
      </c>
      <c r="P59" s="355">
        <f>IF(H59="y",(((N59+O59)*Rates!$J$331))/24,((N59+O59)/24))</f>
        <v>0</v>
      </c>
      <c r="Q59" s="355">
        <f t="shared" si="16"/>
        <v>0</v>
      </c>
      <c r="R59" s="101">
        <f>IF(H59="Y",Rates!$I$362*Q59,Q59)</f>
        <v>0</v>
      </c>
      <c r="S59" s="101">
        <f t="shared" si="7"/>
        <v>0</v>
      </c>
      <c r="T59" s="66">
        <f t="shared" si="8"/>
        <v>0</v>
      </c>
      <c r="U59" s="63"/>
      <c r="V59" s="462"/>
      <c r="W59" s="1120">
        <f t="shared" si="9"/>
        <v>0</v>
      </c>
      <c r="X59" s="1125"/>
      <c r="Y59" s="396"/>
      <c r="Z59" s="481"/>
      <c r="AA59" s="480">
        <f>IF(Z59="",0,ROUND(VLOOKUP(Z59,Compsch!$A$10:$B$509,2),2))</f>
        <v>0</v>
      </c>
      <c r="AB59" s="480">
        <f t="shared" si="17"/>
        <v>0</v>
      </c>
      <c r="AC59" s="480">
        <f t="shared" si="10"/>
        <v>0</v>
      </c>
      <c r="AD59" s="1112" t="str">
        <f t="shared" si="15"/>
        <v/>
      </c>
      <c r="AE59" s="459">
        <f>IF(AD59="",0,ROUND((VLOOKUP(Z59,Compsch!$A$11:$I$390,9)-(VLOOKUP(Z59,Compsch!$A$11:$I$390,7)))*(VLOOKUP(AD59,MeritSch!$A$5:$B$370,2)),0))</f>
        <v>0</v>
      </c>
      <c r="AF59" s="480">
        <f t="shared" si="18"/>
        <v>0</v>
      </c>
      <c r="AG59" s="605">
        <f t="shared" si="11"/>
        <v>0</v>
      </c>
      <c r="AH59" s="373">
        <f>IF(H59="Y",((((AA59+AB59+AG59)*W59)*Rates!$I$379))/24,(((AA59+AB59+AG59)*W59)/24))</f>
        <v>0</v>
      </c>
      <c r="AI59" s="464">
        <f t="shared" si="12"/>
        <v>0</v>
      </c>
      <c r="AJ59" s="465"/>
      <c r="AK59" s="479">
        <f>IF(H59="Y",(AI59*Rates!$I$379+AJ59),(AI59+AJ59))</f>
        <v>0</v>
      </c>
      <c r="AL59" s="426">
        <f t="shared" si="13"/>
        <v>0</v>
      </c>
      <c r="AM59" s="463">
        <f t="shared" si="3"/>
        <v>0</v>
      </c>
      <c r="AN59" s="37">
        <v>50</v>
      </c>
      <c r="AO59" s="1096"/>
      <c r="AP59" s="1097"/>
      <c r="AQ59" s="387"/>
      <c r="AR59" s="1070"/>
      <c r="AS59" s="387"/>
      <c r="AT59" s="1097"/>
      <c r="AU59" s="428"/>
      <c r="AV59" s="622"/>
      <c r="AW59" s="623"/>
    </row>
    <row r="60" spans="1:49" ht="27" hidden="1" customHeight="1" x14ac:dyDescent="0.2">
      <c r="A60" s="37">
        <v>51</v>
      </c>
      <c r="B60" s="509"/>
      <c r="C60" s="510"/>
      <c r="D60" s="511"/>
      <c r="E60" s="512"/>
      <c r="F60" s="1115"/>
      <c r="G60" s="1110" t="str">
        <f t="shared" si="14"/>
        <v>No</v>
      </c>
      <c r="H60" s="513"/>
      <c r="I60" s="482"/>
      <c r="J60" s="70"/>
      <c r="K60" s="1120">
        <f t="shared" si="4"/>
        <v>0</v>
      </c>
      <c r="L60" s="1125"/>
      <c r="M60" s="396"/>
      <c r="N60" s="593"/>
      <c r="O60" s="354">
        <f t="shared" si="5"/>
        <v>0</v>
      </c>
      <c r="P60" s="355">
        <f>IF(H60="y",(((N60+O60)*Rates!$J$331))/24,((N60+O60)/24))</f>
        <v>0</v>
      </c>
      <c r="Q60" s="355">
        <f t="shared" si="16"/>
        <v>0</v>
      </c>
      <c r="R60" s="101">
        <f>IF(H60="Y",Rates!$I$362*Q60,Q60)</f>
        <v>0</v>
      </c>
      <c r="S60" s="101">
        <f t="shared" si="7"/>
        <v>0</v>
      </c>
      <c r="T60" s="66">
        <f t="shared" si="8"/>
        <v>0</v>
      </c>
      <c r="U60" s="63"/>
      <c r="V60" s="462"/>
      <c r="W60" s="1120">
        <f t="shared" si="9"/>
        <v>0</v>
      </c>
      <c r="X60" s="1125"/>
      <c r="Y60" s="396"/>
      <c r="Z60" s="481"/>
      <c r="AA60" s="480">
        <f>IF(Z60="",0,ROUND(VLOOKUP(Z60,Compsch!$A$10:$B$509,2),2))</f>
        <v>0</v>
      </c>
      <c r="AB60" s="480">
        <f t="shared" si="17"/>
        <v>0</v>
      </c>
      <c r="AC60" s="480">
        <f t="shared" si="10"/>
        <v>0</v>
      </c>
      <c r="AD60" s="1112" t="str">
        <f t="shared" si="15"/>
        <v/>
      </c>
      <c r="AE60" s="459">
        <f>IF(AD60="",0,ROUND((VLOOKUP(Z60,Compsch!$A$11:$I$390,9)-(VLOOKUP(Z60,Compsch!$A$11:$I$390,7)))*(VLOOKUP(AD60,MeritSch!$A$5:$B$370,2)),0))</f>
        <v>0</v>
      </c>
      <c r="AF60" s="480">
        <f t="shared" si="18"/>
        <v>0</v>
      </c>
      <c r="AG60" s="605">
        <f t="shared" si="11"/>
        <v>0</v>
      </c>
      <c r="AH60" s="373">
        <f>IF(H60="Y",((((AA60+AB60+AG60)*W60)*Rates!$I$379))/24,(((AA60+AB60+AG60)*W60)/24))</f>
        <v>0</v>
      </c>
      <c r="AI60" s="464">
        <f t="shared" si="12"/>
        <v>0</v>
      </c>
      <c r="AJ60" s="465"/>
      <c r="AK60" s="479">
        <f>IF(H60="Y",(AI60*Rates!$I$379+AJ60),(AI60+AJ60))</f>
        <v>0</v>
      </c>
      <c r="AL60" s="426">
        <f t="shared" si="13"/>
        <v>0</v>
      </c>
      <c r="AM60" s="463">
        <f t="shared" si="3"/>
        <v>0</v>
      </c>
      <c r="AN60" s="37">
        <v>51</v>
      </c>
      <c r="AO60" s="1096"/>
      <c r="AP60" s="1097"/>
      <c r="AQ60" s="387"/>
      <c r="AR60" s="1070"/>
      <c r="AS60" s="387"/>
      <c r="AT60" s="1097"/>
      <c r="AU60" s="428"/>
      <c r="AV60" s="622"/>
      <c r="AW60" s="623"/>
    </row>
    <row r="61" spans="1:49" ht="27" hidden="1" customHeight="1" x14ac:dyDescent="0.2">
      <c r="A61" s="37">
        <v>52</v>
      </c>
      <c r="B61" s="509"/>
      <c r="C61" s="510"/>
      <c r="D61" s="511"/>
      <c r="E61" s="512"/>
      <c r="F61" s="1115"/>
      <c r="G61" s="1110" t="str">
        <f t="shared" si="14"/>
        <v>No</v>
      </c>
      <c r="H61" s="513"/>
      <c r="I61" s="482"/>
      <c r="J61" s="70"/>
      <c r="K61" s="1120">
        <f t="shared" si="4"/>
        <v>0</v>
      </c>
      <c r="L61" s="1125"/>
      <c r="M61" s="396"/>
      <c r="N61" s="593"/>
      <c r="O61" s="354">
        <f t="shared" si="5"/>
        <v>0</v>
      </c>
      <c r="P61" s="355">
        <f>IF(H61="y",(((N61+O61)*Rates!$J$331))/24,((N61+O61)/24))</f>
        <v>0</v>
      </c>
      <c r="Q61" s="355">
        <f t="shared" si="16"/>
        <v>0</v>
      </c>
      <c r="R61" s="101">
        <f>IF(H61="Y",Rates!$I$362*Q61,Q61)</f>
        <v>0</v>
      </c>
      <c r="S61" s="101">
        <f t="shared" si="7"/>
        <v>0</v>
      </c>
      <c r="T61" s="66">
        <f t="shared" si="8"/>
        <v>0</v>
      </c>
      <c r="U61" s="63"/>
      <c r="V61" s="462"/>
      <c r="W61" s="1120">
        <f t="shared" si="9"/>
        <v>0</v>
      </c>
      <c r="X61" s="1125"/>
      <c r="Y61" s="396"/>
      <c r="Z61" s="481"/>
      <c r="AA61" s="480">
        <f>IF(Z61="",0,ROUND(VLOOKUP(Z61,Compsch!$A$10:$B$509,2),2))</f>
        <v>0</v>
      </c>
      <c r="AB61" s="480">
        <f t="shared" si="17"/>
        <v>0</v>
      </c>
      <c r="AC61" s="480">
        <f t="shared" si="10"/>
        <v>0</v>
      </c>
      <c r="AD61" s="1112" t="str">
        <f t="shared" si="15"/>
        <v/>
      </c>
      <c r="AE61" s="459">
        <f>IF(AD61="",0,ROUND((VLOOKUP(Z61,Compsch!$A$11:$I$390,9)-(VLOOKUP(Z61,Compsch!$A$11:$I$390,7)))*(VLOOKUP(AD61,MeritSch!$A$5:$B$370,2)),0))</f>
        <v>0</v>
      </c>
      <c r="AF61" s="480">
        <f t="shared" si="18"/>
        <v>0</v>
      </c>
      <c r="AG61" s="605">
        <f t="shared" si="11"/>
        <v>0</v>
      </c>
      <c r="AH61" s="373">
        <f>IF(H61="Y",((((AA61+AB61+AG61)*W61)*Rates!$I$379))/24,(((AA61+AB61+AG61)*W61)/24))</f>
        <v>0</v>
      </c>
      <c r="AI61" s="464">
        <f t="shared" si="12"/>
        <v>0</v>
      </c>
      <c r="AJ61" s="465"/>
      <c r="AK61" s="479">
        <f>IF(H61="Y",(AI61*Rates!$I$379+AJ61),(AI61+AJ61))</f>
        <v>0</v>
      </c>
      <c r="AL61" s="426">
        <f t="shared" si="13"/>
        <v>0</v>
      </c>
      <c r="AM61" s="463">
        <f t="shared" si="3"/>
        <v>0</v>
      </c>
      <c r="AN61" s="37">
        <v>52</v>
      </c>
      <c r="AO61" s="1096"/>
      <c r="AP61" s="1097"/>
      <c r="AQ61" s="387"/>
      <c r="AR61" s="1070"/>
      <c r="AS61" s="387"/>
      <c r="AT61" s="1097"/>
      <c r="AU61" s="428"/>
      <c r="AV61" s="622"/>
      <c r="AW61" s="623"/>
    </row>
    <row r="62" spans="1:49" ht="27" hidden="1" customHeight="1" x14ac:dyDescent="0.2">
      <c r="A62" s="37">
        <v>53</v>
      </c>
      <c r="B62" s="509"/>
      <c r="C62" s="510"/>
      <c r="D62" s="511"/>
      <c r="E62" s="512"/>
      <c r="F62" s="1115"/>
      <c r="G62" s="1110" t="str">
        <f t="shared" si="14"/>
        <v>No</v>
      </c>
      <c r="H62" s="513"/>
      <c r="I62" s="482"/>
      <c r="J62" s="70"/>
      <c r="K62" s="1120">
        <f t="shared" si="4"/>
        <v>0</v>
      </c>
      <c r="L62" s="1125"/>
      <c r="M62" s="396"/>
      <c r="N62" s="593"/>
      <c r="O62" s="354">
        <f t="shared" si="5"/>
        <v>0</v>
      </c>
      <c r="P62" s="355">
        <f>IF(H62="y",(((N62+O62)*Rates!$J$331))/24,((N62+O62)/24))</f>
        <v>0</v>
      </c>
      <c r="Q62" s="355">
        <f t="shared" si="16"/>
        <v>0</v>
      </c>
      <c r="R62" s="101">
        <f>IF(H62="Y",Rates!$I$362*Q62,Q62)</f>
        <v>0</v>
      </c>
      <c r="S62" s="101">
        <f t="shared" si="7"/>
        <v>0</v>
      </c>
      <c r="T62" s="66">
        <f t="shared" si="8"/>
        <v>0</v>
      </c>
      <c r="U62" s="63"/>
      <c r="V62" s="462"/>
      <c r="W62" s="1120">
        <f t="shared" si="9"/>
        <v>0</v>
      </c>
      <c r="X62" s="1125"/>
      <c r="Y62" s="396"/>
      <c r="Z62" s="481"/>
      <c r="AA62" s="480">
        <f>IF(Z62="",0,ROUND(VLOOKUP(Z62,Compsch!$A$10:$B$509,2),2))</f>
        <v>0</v>
      </c>
      <c r="AB62" s="480">
        <f t="shared" si="17"/>
        <v>0</v>
      </c>
      <c r="AC62" s="480">
        <f t="shared" si="10"/>
        <v>0</v>
      </c>
      <c r="AD62" s="1112" t="str">
        <f t="shared" si="15"/>
        <v/>
      </c>
      <c r="AE62" s="459">
        <f>IF(AD62="",0,ROUND((VLOOKUP(Z62,Compsch!$A$11:$I$390,9)-(VLOOKUP(Z62,Compsch!$A$11:$I$390,7)))*(VLOOKUP(AD62,MeritSch!$A$5:$B$370,2)),0))</f>
        <v>0</v>
      </c>
      <c r="AF62" s="480">
        <f t="shared" si="18"/>
        <v>0</v>
      </c>
      <c r="AG62" s="605">
        <f t="shared" si="11"/>
        <v>0</v>
      </c>
      <c r="AH62" s="373">
        <f>IF(H62="Y",((((AA62+AB62+AG62)*W62)*Rates!$I$379))/24,(((AA62+AB62+AG62)*W62)/24))</f>
        <v>0</v>
      </c>
      <c r="AI62" s="464">
        <f t="shared" si="12"/>
        <v>0</v>
      </c>
      <c r="AJ62" s="465"/>
      <c r="AK62" s="479">
        <f>IF(H62="Y",(AI62*Rates!$I$379+AJ62),(AI62+AJ62))</f>
        <v>0</v>
      </c>
      <c r="AL62" s="426">
        <f t="shared" si="13"/>
        <v>0</v>
      </c>
      <c r="AM62" s="463">
        <f t="shared" si="3"/>
        <v>0</v>
      </c>
      <c r="AN62" s="37">
        <v>53</v>
      </c>
      <c r="AO62" s="1096"/>
      <c r="AP62" s="1097"/>
      <c r="AQ62" s="387"/>
      <c r="AR62" s="1070"/>
      <c r="AS62" s="387"/>
      <c r="AT62" s="1097"/>
      <c r="AU62" s="428"/>
      <c r="AV62" s="622"/>
      <c r="AW62" s="623"/>
    </row>
    <row r="63" spans="1:49" ht="27" hidden="1" customHeight="1" x14ac:dyDescent="0.2">
      <c r="A63" s="37">
        <v>54</v>
      </c>
      <c r="B63" s="509"/>
      <c r="C63" s="510"/>
      <c r="D63" s="511"/>
      <c r="E63" s="512"/>
      <c r="F63" s="1115"/>
      <c r="G63" s="1110" t="str">
        <f t="shared" si="14"/>
        <v>No</v>
      </c>
      <c r="H63" s="513"/>
      <c r="I63" s="482"/>
      <c r="J63" s="70"/>
      <c r="K63" s="1120">
        <f t="shared" si="4"/>
        <v>0</v>
      </c>
      <c r="L63" s="1125"/>
      <c r="M63" s="396"/>
      <c r="N63" s="593"/>
      <c r="O63" s="354">
        <f t="shared" si="5"/>
        <v>0</v>
      </c>
      <c r="P63" s="355">
        <f>IF(H63="y",(((N63+O63)*Rates!$J$331))/24,((N63+O63)/24))</f>
        <v>0</v>
      </c>
      <c r="Q63" s="355">
        <f t="shared" si="16"/>
        <v>0</v>
      </c>
      <c r="R63" s="101">
        <f>IF(H63="Y",Rates!$I$362*Q63,Q63)</f>
        <v>0</v>
      </c>
      <c r="S63" s="101">
        <f t="shared" si="7"/>
        <v>0</v>
      </c>
      <c r="T63" s="66">
        <f t="shared" si="8"/>
        <v>0</v>
      </c>
      <c r="U63" s="63"/>
      <c r="V63" s="462"/>
      <c r="W63" s="1120">
        <f t="shared" si="9"/>
        <v>0</v>
      </c>
      <c r="X63" s="1125"/>
      <c r="Y63" s="396"/>
      <c r="Z63" s="481"/>
      <c r="AA63" s="480">
        <f>IF(Z63="",0,ROUND(VLOOKUP(Z63,Compsch!$A$10:$B$509,2),2))</f>
        <v>0</v>
      </c>
      <c r="AB63" s="480">
        <f t="shared" si="17"/>
        <v>0</v>
      </c>
      <c r="AC63" s="480">
        <f t="shared" si="10"/>
        <v>0</v>
      </c>
      <c r="AD63" s="1112" t="str">
        <f t="shared" si="15"/>
        <v/>
      </c>
      <c r="AE63" s="459">
        <f>IF(AD63="",0,ROUND((VLOOKUP(Z63,Compsch!$A$11:$I$390,9)-(VLOOKUP(Z63,Compsch!$A$11:$I$390,7)))*(VLOOKUP(AD63,MeritSch!$A$5:$B$370,2)),0))</f>
        <v>0</v>
      </c>
      <c r="AF63" s="480">
        <f t="shared" si="18"/>
        <v>0</v>
      </c>
      <c r="AG63" s="605">
        <f t="shared" si="11"/>
        <v>0</v>
      </c>
      <c r="AH63" s="373">
        <f>IF(H63="Y",((((AA63+AB63+AG63)*W63)*Rates!$I$379))/24,(((AA63+AB63+AG63)*W63)/24))</f>
        <v>0</v>
      </c>
      <c r="AI63" s="464">
        <f t="shared" si="12"/>
        <v>0</v>
      </c>
      <c r="AJ63" s="465"/>
      <c r="AK63" s="479">
        <f>IF(H63="Y",(AI63*Rates!$I$379+AJ63),(AI63+AJ63))</f>
        <v>0</v>
      </c>
      <c r="AL63" s="426">
        <f t="shared" si="13"/>
        <v>0</v>
      </c>
      <c r="AM63" s="463">
        <f t="shared" si="3"/>
        <v>0</v>
      </c>
      <c r="AN63" s="37">
        <v>54</v>
      </c>
      <c r="AO63" s="1096"/>
      <c r="AP63" s="1097"/>
      <c r="AQ63" s="387"/>
      <c r="AR63" s="1070"/>
      <c r="AS63" s="387"/>
      <c r="AT63" s="1097"/>
      <c r="AU63" s="428"/>
      <c r="AV63" s="622"/>
      <c r="AW63" s="623"/>
    </row>
    <row r="64" spans="1:49" ht="27" hidden="1" customHeight="1" x14ac:dyDescent="0.2">
      <c r="A64" s="37">
        <v>55</v>
      </c>
      <c r="B64" s="509"/>
      <c r="C64" s="510"/>
      <c r="D64" s="511"/>
      <c r="E64" s="512"/>
      <c r="F64" s="1115"/>
      <c r="G64" s="1110" t="str">
        <f t="shared" si="14"/>
        <v>No</v>
      </c>
      <c r="H64" s="513"/>
      <c r="I64" s="482"/>
      <c r="J64" s="70"/>
      <c r="K64" s="1120">
        <f t="shared" si="4"/>
        <v>0</v>
      </c>
      <c r="L64" s="1125"/>
      <c r="M64" s="396"/>
      <c r="N64" s="593"/>
      <c r="O64" s="354">
        <f t="shared" si="5"/>
        <v>0</v>
      </c>
      <c r="P64" s="355">
        <f>IF(H64="y",(((N64+O64)*Rates!$J$331))/24,((N64+O64)/24))</f>
        <v>0</v>
      </c>
      <c r="Q64" s="355">
        <f t="shared" si="16"/>
        <v>0</v>
      </c>
      <c r="R64" s="101">
        <f>IF(H64="Y",Rates!$I$362*Q64,Q64)</f>
        <v>0</v>
      </c>
      <c r="S64" s="101">
        <f t="shared" si="7"/>
        <v>0</v>
      </c>
      <c r="T64" s="66">
        <f t="shared" si="8"/>
        <v>0</v>
      </c>
      <c r="U64" s="63"/>
      <c r="V64" s="462"/>
      <c r="W64" s="1120">
        <f t="shared" si="9"/>
        <v>0</v>
      </c>
      <c r="X64" s="1125"/>
      <c r="Y64" s="396"/>
      <c r="Z64" s="481"/>
      <c r="AA64" s="480">
        <f>IF(Z64="",0,ROUND(VLOOKUP(Z64,Compsch!$A$10:$B$509,2),2))</f>
        <v>0</v>
      </c>
      <c r="AB64" s="480">
        <f t="shared" si="17"/>
        <v>0</v>
      </c>
      <c r="AC64" s="480">
        <f t="shared" si="10"/>
        <v>0</v>
      </c>
      <c r="AD64" s="1112" t="str">
        <f t="shared" si="15"/>
        <v/>
      </c>
      <c r="AE64" s="459">
        <f>IF(AD64="",0,ROUND((VLOOKUP(Z64,Compsch!$A$11:$I$390,9)-(VLOOKUP(Z64,Compsch!$A$11:$I$390,7)))*(VLOOKUP(AD64,MeritSch!$A$5:$B$370,2)),0))</f>
        <v>0</v>
      </c>
      <c r="AF64" s="480">
        <f t="shared" si="18"/>
        <v>0</v>
      </c>
      <c r="AG64" s="605">
        <f t="shared" si="11"/>
        <v>0</v>
      </c>
      <c r="AH64" s="373">
        <f>IF(H64="Y",((((AA64+AB64+AG64)*W64)*Rates!$I$379))/24,(((AA64+AB64+AG64)*W64)/24))</f>
        <v>0</v>
      </c>
      <c r="AI64" s="464">
        <f t="shared" si="12"/>
        <v>0</v>
      </c>
      <c r="AJ64" s="465"/>
      <c r="AK64" s="479">
        <f>IF(H64="Y",(AI64*Rates!$I$379+AJ64),(AI64+AJ64))</f>
        <v>0</v>
      </c>
      <c r="AL64" s="426">
        <f t="shared" si="13"/>
        <v>0</v>
      </c>
      <c r="AM64" s="463">
        <f t="shared" si="3"/>
        <v>0</v>
      </c>
      <c r="AN64" s="37">
        <v>55</v>
      </c>
      <c r="AO64" s="1096"/>
      <c r="AP64" s="1097"/>
      <c r="AQ64" s="387"/>
      <c r="AR64" s="1070"/>
      <c r="AS64" s="387"/>
      <c r="AT64" s="1097"/>
      <c r="AU64" s="428"/>
      <c r="AV64" s="622"/>
      <c r="AW64" s="623"/>
    </row>
    <row r="65" spans="1:49" ht="27" hidden="1" customHeight="1" x14ac:dyDescent="0.2">
      <c r="A65" s="37">
        <v>56</v>
      </c>
      <c r="B65" s="509"/>
      <c r="C65" s="510"/>
      <c r="D65" s="511"/>
      <c r="E65" s="512"/>
      <c r="F65" s="1115"/>
      <c r="G65" s="1110" t="str">
        <f t="shared" si="14"/>
        <v>No</v>
      </c>
      <c r="H65" s="513"/>
      <c r="I65" s="482"/>
      <c r="J65" s="70"/>
      <c r="K65" s="1120">
        <f t="shared" si="4"/>
        <v>0</v>
      </c>
      <c r="L65" s="1125"/>
      <c r="M65" s="396"/>
      <c r="N65" s="593"/>
      <c r="O65" s="354">
        <f t="shared" si="5"/>
        <v>0</v>
      </c>
      <c r="P65" s="355">
        <f>IF(H65="y",(((N65+O65)*Rates!$J$331))/24,((N65+O65)/24))</f>
        <v>0</v>
      </c>
      <c r="Q65" s="355">
        <f t="shared" si="16"/>
        <v>0</v>
      </c>
      <c r="R65" s="101">
        <f>IF(H65="Y",Rates!$I$362*Q65,Q65)</f>
        <v>0</v>
      </c>
      <c r="S65" s="101">
        <f t="shared" si="7"/>
        <v>0</v>
      </c>
      <c r="T65" s="66">
        <f t="shared" si="8"/>
        <v>0</v>
      </c>
      <c r="U65" s="63"/>
      <c r="V65" s="462"/>
      <c r="W65" s="1120">
        <f t="shared" si="9"/>
        <v>0</v>
      </c>
      <c r="X65" s="1125"/>
      <c r="Y65" s="396"/>
      <c r="Z65" s="481"/>
      <c r="AA65" s="480">
        <f>IF(Z65="",0,ROUND(VLOOKUP(Z65,Compsch!$A$10:$B$509,2),2))</f>
        <v>0</v>
      </c>
      <c r="AB65" s="480">
        <f t="shared" si="17"/>
        <v>0</v>
      </c>
      <c r="AC65" s="480">
        <f t="shared" si="10"/>
        <v>0</v>
      </c>
      <c r="AD65" s="1112" t="str">
        <f t="shared" si="15"/>
        <v/>
      </c>
      <c r="AE65" s="459">
        <f>IF(AD65="",0,ROUND((VLOOKUP(Z65,Compsch!$A$11:$I$390,9)-(VLOOKUP(Z65,Compsch!$A$11:$I$390,7)))*(VLOOKUP(AD65,MeritSch!$A$5:$B$370,2)),0))</f>
        <v>0</v>
      </c>
      <c r="AF65" s="480">
        <f t="shared" si="18"/>
        <v>0</v>
      </c>
      <c r="AG65" s="605">
        <f t="shared" si="11"/>
        <v>0</v>
      </c>
      <c r="AH65" s="373">
        <f>IF(H65="Y",((((AA65+AB65+AG65)*W65)*Rates!$I$379))/24,(((AA65+AB65+AG65)*W65)/24))</f>
        <v>0</v>
      </c>
      <c r="AI65" s="464">
        <f t="shared" si="12"/>
        <v>0</v>
      </c>
      <c r="AJ65" s="465"/>
      <c r="AK65" s="479">
        <f>IF(H65="Y",(AI65*Rates!$I$379+AJ65),(AI65+AJ65))</f>
        <v>0</v>
      </c>
      <c r="AL65" s="426">
        <f t="shared" si="13"/>
        <v>0</v>
      </c>
      <c r="AM65" s="463">
        <f t="shared" si="3"/>
        <v>0</v>
      </c>
      <c r="AN65" s="37">
        <v>56</v>
      </c>
      <c r="AO65" s="1096"/>
      <c r="AP65" s="1097"/>
      <c r="AQ65" s="387"/>
      <c r="AR65" s="1070"/>
      <c r="AS65" s="387"/>
      <c r="AT65" s="1097"/>
      <c r="AU65" s="428"/>
      <c r="AV65" s="622"/>
      <c r="AW65" s="623"/>
    </row>
    <row r="66" spans="1:49" ht="27" hidden="1" customHeight="1" x14ac:dyDescent="0.2">
      <c r="A66" s="37">
        <v>57</v>
      </c>
      <c r="B66" s="509"/>
      <c r="C66" s="510"/>
      <c r="D66" s="511"/>
      <c r="E66" s="512"/>
      <c r="F66" s="1115"/>
      <c r="G66" s="1110" t="str">
        <f t="shared" si="14"/>
        <v>No</v>
      </c>
      <c r="H66" s="513"/>
      <c r="I66" s="482"/>
      <c r="J66" s="70"/>
      <c r="K66" s="1120">
        <f t="shared" si="4"/>
        <v>0</v>
      </c>
      <c r="L66" s="1125"/>
      <c r="M66" s="396"/>
      <c r="N66" s="593"/>
      <c r="O66" s="354">
        <f t="shared" si="5"/>
        <v>0</v>
      </c>
      <c r="P66" s="355">
        <f>IF(H66="y",(((N66+O66)*Rates!$J$331))/24,((N66+O66)/24))</f>
        <v>0</v>
      </c>
      <c r="Q66" s="355">
        <f t="shared" si="16"/>
        <v>0</v>
      </c>
      <c r="R66" s="101">
        <f>IF(H66="Y",Rates!$I$362*Q66,Q66)</f>
        <v>0</v>
      </c>
      <c r="S66" s="101">
        <f t="shared" si="7"/>
        <v>0</v>
      </c>
      <c r="T66" s="66">
        <f t="shared" si="8"/>
        <v>0</v>
      </c>
      <c r="U66" s="63"/>
      <c r="V66" s="462"/>
      <c r="W66" s="1120">
        <f t="shared" si="9"/>
        <v>0</v>
      </c>
      <c r="X66" s="1125"/>
      <c r="Y66" s="396"/>
      <c r="Z66" s="481"/>
      <c r="AA66" s="480">
        <f>IF(Z66="",0,ROUND(VLOOKUP(Z66,Compsch!$A$10:$B$509,2),2))</f>
        <v>0</v>
      </c>
      <c r="AB66" s="480">
        <f t="shared" si="17"/>
        <v>0</v>
      </c>
      <c r="AC66" s="480">
        <f t="shared" si="10"/>
        <v>0</v>
      </c>
      <c r="AD66" s="1112" t="str">
        <f t="shared" si="15"/>
        <v/>
      </c>
      <c r="AE66" s="459">
        <f>IF(AD66="",0,ROUND((VLOOKUP(Z66,Compsch!$A$11:$I$390,9)-(VLOOKUP(Z66,Compsch!$A$11:$I$390,7)))*(VLOOKUP(AD66,MeritSch!$A$5:$B$370,2)),0))</f>
        <v>0</v>
      </c>
      <c r="AF66" s="480">
        <f t="shared" si="18"/>
        <v>0</v>
      </c>
      <c r="AG66" s="605">
        <f t="shared" si="11"/>
        <v>0</v>
      </c>
      <c r="AH66" s="373">
        <f>IF(H66="Y",((((AA66+AB66+AG66)*W66)*Rates!$I$379))/24,(((AA66+AB66+AG66)*W66)/24))</f>
        <v>0</v>
      </c>
      <c r="AI66" s="464">
        <f t="shared" si="12"/>
        <v>0</v>
      </c>
      <c r="AJ66" s="465"/>
      <c r="AK66" s="479">
        <f>IF(H66="Y",(AI66*Rates!$I$379+AJ66),(AI66+AJ66))</f>
        <v>0</v>
      </c>
      <c r="AL66" s="426">
        <f t="shared" si="13"/>
        <v>0</v>
      </c>
      <c r="AM66" s="463">
        <f t="shared" si="3"/>
        <v>0</v>
      </c>
      <c r="AN66" s="37">
        <v>57</v>
      </c>
      <c r="AO66" s="1096"/>
      <c r="AP66" s="1097"/>
      <c r="AQ66" s="387"/>
      <c r="AR66" s="1070"/>
      <c r="AS66" s="387"/>
      <c r="AT66" s="1097"/>
      <c r="AU66" s="428"/>
      <c r="AV66" s="622"/>
      <c r="AW66" s="623"/>
    </row>
    <row r="67" spans="1:49" ht="27" hidden="1" customHeight="1" x14ac:dyDescent="0.2">
      <c r="A67" s="37">
        <v>58</v>
      </c>
      <c r="B67" s="509"/>
      <c r="C67" s="510"/>
      <c r="D67" s="511"/>
      <c r="E67" s="512"/>
      <c r="F67" s="1115"/>
      <c r="G67" s="1110" t="str">
        <f t="shared" si="14"/>
        <v>No</v>
      </c>
      <c r="H67" s="513"/>
      <c r="I67" s="482"/>
      <c r="J67" s="70"/>
      <c r="K67" s="1120">
        <f t="shared" si="4"/>
        <v>0</v>
      </c>
      <c r="L67" s="1125"/>
      <c r="M67" s="396"/>
      <c r="N67" s="593"/>
      <c r="O67" s="354">
        <f t="shared" si="5"/>
        <v>0</v>
      </c>
      <c r="P67" s="355">
        <f>IF(H67="y",(((N67+O67)*Rates!$J$331))/24,((N67+O67)/24))</f>
        <v>0</v>
      </c>
      <c r="Q67" s="355">
        <f t="shared" si="16"/>
        <v>0</v>
      </c>
      <c r="R67" s="101">
        <f>IF(H67="Y",Rates!$I$362*Q67,Q67)</f>
        <v>0</v>
      </c>
      <c r="S67" s="101">
        <f t="shared" si="7"/>
        <v>0</v>
      </c>
      <c r="T67" s="66">
        <f t="shared" si="8"/>
        <v>0</v>
      </c>
      <c r="U67" s="63"/>
      <c r="V67" s="462"/>
      <c r="W67" s="1120">
        <f t="shared" si="9"/>
        <v>0</v>
      </c>
      <c r="X67" s="1125"/>
      <c r="Y67" s="396"/>
      <c r="Z67" s="481"/>
      <c r="AA67" s="480">
        <f>IF(Z67="",0,ROUND(VLOOKUP(Z67,Compsch!$A$10:$B$509,2),2))</f>
        <v>0</v>
      </c>
      <c r="AB67" s="480">
        <f t="shared" si="17"/>
        <v>0</v>
      </c>
      <c r="AC67" s="480">
        <f t="shared" si="10"/>
        <v>0</v>
      </c>
      <c r="AD67" s="1112" t="str">
        <f t="shared" si="15"/>
        <v/>
      </c>
      <c r="AE67" s="459">
        <f>IF(AD67="",0,ROUND((VLOOKUP(Z67,Compsch!$A$11:$I$390,9)-(VLOOKUP(Z67,Compsch!$A$11:$I$390,7)))*(VLOOKUP(AD67,MeritSch!$A$5:$B$370,2)),0))</f>
        <v>0</v>
      </c>
      <c r="AF67" s="480">
        <f t="shared" si="18"/>
        <v>0</v>
      </c>
      <c r="AG67" s="605">
        <f t="shared" si="11"/>
        <v>0</v>
      </c>
      <c r="AH67" s="373">
        <f>IF(H67="Y",((((AA67+AB67+AG67)*W67)*Rates!$I$379))/24,(((AA67+AB67+AG67)*W67)/24))</f>
        <v>0</v>
      </c>
      <c r="AI67" s="464">
        <f t="shared" si="12"/>
        <v>0</v>
      </c>
      <c r="AJ67" s="465"/>
      <c r="AK67" s="479">
        <f>IF(H67="Y",(AI67*Rates!$I$379+AJ67),(AI67+AJ67))</f>
        <v>0</v>
      </c>
      <c r="AL67" s="426">
        <f t="shared" si="13"/>
        <v>0</v>
      </c>
      <c r="AM67" s="463">
        <f t="shared" si="3"/>
        <v>0</v>
      </c>
      <c r="AN67" s="37">
        <v>58</v>
      </c>
      <c r="AO67" s="1096"/>
      <c r="AP67" s="1097"/>
      <c r="AQ67" s="387"/>
      <c r="AR67" s="1070"/>
      <c r="AS67" s="387"/>
      <c r="AT67" s="1097"/>
      <c r="AU67" s="428"/>
      <c r="AV67" s="622"/>
      <c r="AW67" s="623"/>
    </row>
    <row r="68" spans="1:49" ht="27" hidden="1" customHeight="1" x14ac:dyDescent="0.2">
      <c r="A68" s="37">
        <v>59</v>
      </c>
      <c r="B68" s="509"/>
      <c r="C68" s="510"/>
      <c r="D68" s="511"/>
      <c r="E68" s="512"/>
      <c r="F68" s="1115"/>
      <c r="G68" s="1110" t="str">
        <f t="shared" si="14"/>
        <v>No</v>
      </c>
      <c r="H68" s="513"/>
      <c r="I68" s="482"/>
      <c r="J68" s="70"/>
      <c r="K68" s="1120">
        <f t="shared" si="4"/>
        <v>0</v>
      </c>
      <c r="L68" s="1125"/>
      <c r="M68" s="396"/>
      <c r="N68" s="593"/>
      <c r="O68" s="354">
        <f t="shared" si="5"/>
        <v>0</v>
      </c>
      <c r="P68" s="355">
        <f>IF(H68="y",(((N68+O68)*Rates!$J$331))/24,((N68+O68)/24))</f>
        <v>0</v>
      </c>
      <c r="Q68" s="355">
        <f t="shared" si="16"/>
        <v>0</v>
      </c>
      <c r="R68" s="101">
        <f>IF(H68="Y",Rates!$I$362*Q68,Q68)</f>
        <v>0</v>
      </c>
      <c r="S68" s="101">
        <f t="shared" si="7"/>
        <v>0</v>
      </c>
      <c r="T68" s="66">
        <f t="shared" si="8"/>
        <v>0</v>
      </c>
      <c r="U68" s="63"/>
      <c r="V68" s="462"/>
      <c r="W68" s="1120">
        <f t="shared" si="9"/>
        <v>0</v>
      </c>
      <c r="X68" s="1125"/>
      <c r="Y68" s="396"/>
      <c r="Z68" s="481"/>
      <c r="AA68" s="480">
        <f>IF(Z68="",0,ROUND(VLOOKUP(Z68,Compsch!$A$10:$B$509,2),2))</f>
        <v>0</v>
      </c>
      <c r="AB68" s="480">
        <f t="shared" si="17"/>
        <v>0</v>
      </c>
      <c r="AC68" s="480">
        <f t="shared" si="10"/>
        <v>0</v>
      </c>
      <c r="AD68" s="1112" t="str">
        <f t="shared" si="15"/>
        <v/>
      </c>
      <c r="AE68" s="459">
        <f>IF(AD68="",0,ROUND((VLOOKUP(Z68,Compsch!$A$11:$I$390,9)-(VLOOKUP(Z68,Compsch!$A$11:$I$390,7)))*(VLOOKUP(AD68,MeritSch!$A$5:$B$370,2)),0))</f>
        <v>0</v>
      </c>
      <c r="AF68" s="480">
        <f t="shared" si="18"/>
        <v>0</v>
      </c>
      <c r="AG68" s="605">
        <f t="shared" si="11"/>
        <v>0</v>
      </c>
      <c r="AH68" s="373">
        <f>IF(H68="Y",((((AA68+AB68+AG68)*W68)*Rates!$I$379))/24,(((AA68+AB68+AG68)*W68)/24))</f>
        <v>0</v>
      </c>
      <c r="AI68" s="464">
        <f t="shared" si="12"/>
        <v>0</v>
      </c>
      <c r="AJ68" s="465"/>
      <c r="AK68" s="479">
        <f>IF(H68="Y",(AI68*Rates!$I$379+AJ68),(AI68+AJ68))</f>
        <v>0</v>
      </c>
      <c r="AL68" s="426">
        <f t="shared" si="13"/>
        <v>0</v>
      </c>
      <c r="AM68" s="463">
        <f t="shared" si="3"/>
        <v>0</v>
      </c>
      <c r="AN68" s="37">
        <v>59</v>
      </c>
      <c r="AO68" s="1096"/>
      <c r="AP68" s="1097"/>
      <c r="AQ68" s="387"/>
      <c r="AR68" s="1070"/>
      <c r="AS68" s="387"/>
      <c r="AT68" s="1097"/>
      <c r="AU68" s="428"/>
      <c r="AV68" s="622"/>
      <c r="AW68" s="623"/>
    </row>
    <row r="69" spans="1:49" ht="27" hidden="1" customHeight="1" x14ac:dyDescent="0.2">
      <c r="A69" s="37">
        <v>60</v>
      </c>
      <c r="B69" s="509"/>
      <c r="C69" s="510"/>
      <c r="D69" s="511"/>
      <c r="E69" s="512"/>
      <c r="F69" s="1115"/>
      <c r="G69" s="1110" t="str">
        <f t="shared" si="14"/>
        <v>No</v>
      </c>
      <c r="H69" s="513"/>
      <c r="I69" s="482"/>
      <c r="J69" s="70"/>
      <c r="K69" s="1120">
        <f t="shared" si="4"/>
        <v>0</v>
      </c>
      <c r="L69" s="1125"/>
      <c r="M69" s="396"/>
      <c r="N69" s="593"/>
      <c r="O69" s="354">
        <f t="shared" si="5"/>
        <v>0</v>
      </c>
      <c r="P69" s="355">
        <f>IF(H69="y",(((N69+O69)*Rates!$J$331))/24,((N69+O69)/24))</f>
        <v>0</v>
      </c>
      <c r="Q69" s="355">
        <f t="shared" si="16"/>
        <v>0</v>
      </c>
      <c r="R69" s="101">
        <f>IF(H69="Y",Rates!$I$362*Q69,Q69)</f>
        <v>0</v>
      </c>
      <c r="S69" s="101">
        <f t="shared" si="7"/>
        <v>0</v>
      </c>
      <c r="T69" s="66">
        <f t="shared" si="8"/>
        <v>0</v>
      </c>
      <c r="U69" s="63"/>
      <c r="V69" s="462"/>
      <c r="W69" s="1120">
        <f t="shared" si="9"/>
        <v>0</v>
      </c>
      <c r="X69" s="1125"/>
      <c r="Y69" s="396"/>
      <c r="Z69" s="481"/>
      <c r="AA69" s="480">
        <f>IF(Z69="",0,ROUND(VLOOKUP(Z69,Compsch!$A$10:$B$509,2),2))</f>
        <v>0</v>
      </c>
      <c r="AB69" s="480">
        <f t="shared" si="17"/>
        <v>0</v>
      </c>
      <c r="AC69" s="480">
        <f t="shared" si="10"/>
        <v>0</v>
      </c>
      <c r="AD69" s="1112" t="str">
        <f t="shared" si="15"/>
        <v/>
      </c>
      <c r="AE69" s="459">
        <f>IF(AD69="",0,ROUND((VLOOKUP(Z69,Compsch!$A$11:$I$390,9)-(VLOOKUP(Z69,Compsch!$A$11:$I$390,7)))*(VLOOKUP(AD69,MeritSch!$A$5:$B$370,2)),0))</f>
        <v>0</v>
      </c>
      <c r="AF69" s="480">
        <f t="shared" si="18"/>
        <v>0</v>
      </c>
      <c r="AG69" s="605">
        <f t="shared" si="11"/>
        <v>0</v>
      </c>
      <c r="AH69" s="373">
        <f>IF(H69="Y",((((AA69+AB69+AG69)*W69)*Rates!$I$379))/24,(((AA69+AB69+AG69)*W69)/24))</f>
        <v>0</v>
      </c>
      <c r="AI69" s="464">
        <f t="shared" si="12"/>
        <v>0</v>
      </c>
      <c r="AJ69" s="465"/>
      <c r="AK69" s="479">
        <f>IF(H69="Y",(AI69*Rates!$I$379+AJ69),(AI69+AJ69))</f>
        <v>0</v>
      </c>
      <c r="AL69" s="426">
        <f t="shared" si="13"/>
        <v>0</v>
      </c>
      <c r="AM69" s="463">
        <f t="shared" si="3"/>
        <v>0</v>
      </c>
      <c r="AN69" s="37">
        <v>60</v>
      </c>
      <c r="AO69" s="1096"/>
      <c r="AP69" s="1097"/>
      <c r="AQ69" s="387"/>
      <c r="AR69" s="1070"/>
      <c r="AS69" s="387"/>
      <c r="AT69" s="1097"/>
      <c r="AU69" s="428"/>
      <c r="AV69" s="622"/>
      <c r="AW69" s="623"/>
    </row>
    <row r="70" spans="1:49" ht="27" hidden="1" customHeight="1" x14ac:dyDescent="0.2">
      <c r="A70" s="37">
        <v>61</v>
      </c>
      <c r="B70" s="509"/>
      <c r="C70" s="510"/>
      <c r="D70" s="511"/>
      <c r="E70" s="512"/>
      <c r="F70" s="1115"/>
      <c r="G70" s="1110" t="str">
        <f t="shared" si="14"/>
        <v>No</v>
      </c>
      <c r="H70" s="513"/>
      <c r="I70" s="482"/>
      <c r="J70" s="70"/>
      <c r="K70" s="1120">
        <f t="shared" si="4"/>
        <v>0</v>
      </c>
      <c r="L70" s="1125"/>
      <c r="M70" s="396"/>
      <c r="N70" s="593"/>
      <c r="O70" s="354">
        <f t="shared" si="5"/>
        <v>0</v>
      </c>
      <c r="P70" s="355">
        <f>IF(H70="y",(((N70+O70)*Rates!$J$331))/24,((N70+O70)/24))</f>
        <v>0</v>
      </c>
      <c r="Q70" s="355">
        <f t="shared" si="16"/>
        <v>0</v>
      </c>
      <c r="R70" s="101">
        <f>IF(H70="Y",Rates!$I$362*Q70,Q70)</f>
        <v>0</v>
      </c>
      <c r="S70" s="101">
        <f t="shared" si="7"/>
        <v>0</v>
      </c>
      <c r="T70" s="66">
        <f t="shared" si="8"/>
        <v>0</v>
      </c>
      <c r="U70" s="63"/>
      <c r="V70" s="462"/>
      <c r="W70" s="1120">
        <f t="shared" si="9"/>
        <v>0</v>
      </c>
      <c r="X70" s="1125"/>
      <c r="Y70" s="396"/>
      <c r="Z70" s="481"/>
      <c r="AA70" s="480">
        <f>IF(Z70="",0,ROUND(VLOOKUP(Z70,Compsch!$A$10:$B$509,2),2))</f>
        <v>0</v>
      </c>
      <c r="AB70" s="480">
        <f t="shared" si="17"/>
        <v>0</v>
      </c>
      <c r="AC70" s="480">
        <f t="shared" si="10"/>
        <v>0</v>
      </c>
      <c r="AD70" s="1112" t="str">
        <f t="shared" si="15"/>
        <v/>
      </c>
      <c r="AE70" s="459">
        <f>IF(AD70="",0,ROUND((VLOOKUP(Z70,Compsch!$A$11:$I$390,9)-(VLOOKUP(Z70,Compsch!$A$11:$I$390,7)))*(VLOOKUP(AD70,MeritSch!$A$5:$B$370,2)),0))</f>
        <v>0</v>
      </c>
      <c r="AF70" s="480">
        <f t="shared" si="18"/>
        <v>0</v>
      </c>
      <c r="AG70" s="605">
        <f t="shared" si="11"/>
        <v>0</v>
      </c>
      <c r="AH70" s="373">
        <f>IF(H70="Y",((((AA70+AB70+AG70)*W70)*Rates!$I$379))/24,(((AA70+AB70+AG70)*W70)/24))</f>
        <v>0</v>
      </c>
      <c r="AI70" s="464">
        <f t="shared" si="12"/>
        <v>0</v>
      </c>
      <c r="AJ70" s="465"/>
      <c r="AK70" s="479">
        <f>IF(H70="Y",(AI70*Rates!$I$379+AJ70),(AI70+AJ70))</f>
        <v>0</v>
      </c>
      <c r="AL70" s="426">
        <f t="shared" si="13"/>
        <v>0</v>
      </c>
      <c r="AM70" s="463">
        <f t="shared" si="3"/>
        <v>0</v>
      </c>
      <c r="AN70" s="37">
        <v>61</v>
      </c>
      <c r="AO70" s="1096"/>
      <c r="AP70" s="1097"/>
      <c r="AQ70" s="387"/>
      <c r="AR70" s="1070"/>
      <c r="AS70" s="387"/>
      <c r="AT70" s="1097"/>
      <c r="AU70" s="428"/>
      <c r="AV70" s="622"/>
      <c r="AW70" s="623"/>
    </row>
    <row r="71" spans="1:49" ht="27" hidden="1" customHeight="1" x14ac:dyDescent="0.2">
      <c r="A71" s="37">
        <v>62</v>
      </c>
      <c r="B71" s="509"/>
      <c r="C71" s="510"/>
      <c r="D71" s="511"/>
      <c r="E71" s="512"/>
      <c r="F71" s="1115"/>
      <c r="G71" s="1110" t="str">
        <f t="shared" si="14"/>
        <v>No</v>
      </c>
      <c r="H71" s="513"/>
      <c r="I71" s="482"/>
      <c r="J71" s="70"/>
      <c r="K71" s="1120">
        <f t="shared" si="4"/>
        <v>0</v>
      </c>
      <c r="L71" s="1125"/>
      <c r="M71" s="396"/>
      <c r="N71" s="593"/>
      <c r="O71" s="354">
        <f t="shared" si="5"/>
        <v>0</v>
      </c>
      <c r="P71" s="355">
        <f>IF(H71="y",(((N71+O71)*Rates!$J$331))/24,((N71+O71)/24))</f>
        <v>0</v>
      </c>
      <c r="Q71" s="355">
        <f t="shared" si="16"/>
        <v>0</v>
      </c>
      <c r="R71" s="101">
        <f>IF(H71="Y",Rates!$I$362*Q71,Q71)</f>
        <v>0</v>
      </c>
      <c r="S71" s="101">
        <f t="shared" si="7"/>
        <v>0</v>
      </c>
      <c r="T71" s="66">
        <f t="shared" si="8"/>
        <v>0</v>
      </c>
      <c r="U71" s="63"/>
      <c r="V71" s="462"/>
      <c r="W71" s="1120">
        <f t="shared" si="9"/>
        <v>0</v>
      </c>
      <c r="X71" s="1125"/>
      <c r="Y71" s="396"/>
      <c r="Z71" s="481"/>
      <c r="AA71" s="480">
        <f>IF(Z71="",0,ROUND(VLOOKUP(Z71,Compsch!$A$10:$B$509,2),2))</f>
        <v>0</v>
      </c>
      <c r="AB71" s="480">
        <f t="shared" si="17"/>
        <v>0</v>
      </c>
      <c r="AC71" s="480">
        <f t="shared" si="10"/>
        <v>0</v>
      </c>
      <c r="AD71" s="1112" t="str">
        <f t="shared" si="15"/>
        <v/>
      </c>
      <c r="AE71" s="459">
        <f>IF(AD71="",0,ROUND((VLOOKUP(Z71,Compsch!$A$11:$I$390,9)-(VLOOKUP(Z71,Compsch!$A$11:$I$390,7)))*(VLOOKUP(AD71,MeritSch!$A$5:$B$370,2)),0))</f>
        <v>0</v>
      </c>
      <c r="AF71" s="480">
        <f t="shared" si="18"/>
        <v>0</v>
      </c>
      <c r="AG71" s="605">
        <f t="shared" si="11"/>
        <v>0</v>
      </c>
      <c r="AH71" s="373">
        <f>IF(H71="Y",((((AA71+AB71+AG71)*W71)*Rates!$I$379))/24,(((AA71+AB71+AG71)*W71)/24))</f>
        <v>0</v>
      </c>
      <c r="AI71" s="464">
        <f t="shared" si="12"/>
        <v>0</v>
      </c>
      <c r="AJ71" s="465"/>
      <c r="AK71" s="479">
        <f>IF(H71="Y",(AI71*Rates!$I$379+AJ71),(AI71+AJ71))</f>
        <v>0</v>
      </c>
      <c r="AL71" s="426">
        <f t="shared" si="13"/>
        <v>0</v>
      </c>
      <c r="AM71" s="463">
        <f t="shared" si="3"/>
        <v>0</v>
      </c>
      <c r="AN71" s="37">
        <v>62</v>
      </c>
      <c r="AO71" s="1096"/>
      <c r="AP71" s="1097"/>
      <c r="AQ71" s="387"/>
      <c r="AR71" s="1070"/>
      <c r="AS71" s="387"/>
      <c r="AT71" s="1097"/>
      <c r="AU71" s="428"/>
      <c r="AV71" s="622"/>
      <c r="AW71" s="623"/>
    </row>
    <row r="72" spans="1:49" ht="27" hidden="1" customHeight="1" x14ac:dyDescent="0.2">
      <c r="A72" s="37">
        <v>63</v>
      </c>
      <c r="B72" s="509"/>
      <c r="C72" s="510"/>
      <c r="D72" s="511"/>
      <c r="E72" s="512"/>
      <c r="F72" s="1115"/>
      <c r="G72" s="1110" t="str">
        <f t="shared" si="14"/>
        <v>No</v>
      </c>
      <c r="H72" s="513"/>
      <c r="I72" s="482"/>
      <c r="J72" s="70"/>
      <c r="K72" s="1120">
        <f t="shared" si="4"/>
        <v>0</v>
      </c>
      <c r="L72" s="1125"/>
      <c r="M72" s="396"/>
      <c r="N72" s="593"/>
      <c r="O72" s="354">
        <f t="shared" si="5"/>
        <v>0</v>
      </c>
      <c r="P72" s="355">
        <f>IF(H72="y",(((N72+O72)*Rates!$J$331))/24,((N72+O72)/24))</f>
        <v>0</v>
      </c>
      <c r="Q72" s="355">
        <f t="shared" si="16"/>
        <v>0</v>
      </c>
      <c r="R72" s="101">
        <f>IF(H72="Y",Rates!$I$362*Q72,Q72)</f>
        <v>0</v>
      </c>
      <c r="S72" s="101">
        <f t="shared" si="7"/>
        <v>0</v>
      </c>
      <c r="T72" s="66">
        <f t="shared" si="8"/>
        <v>0</v>
      </c>
      <c r="U72" s="63"/>
      <c r="V72" s="462"/>
      <c r="W72" s="1120">
        <f t="shared" si="9"/>
        <v>0</v>
      </c>
      <c r="X72" s="1125"/>
      <c r="Y72" s="396"/>
      <c r="Z72" s="481"/>
      <c r="AA72" s="480">
        <f>IF(Z72="",0,ROUND(VLOOKUP(Z72,Compsch!$A$10:$B$509,2),2))</f>
        <v>0</v>
      </c>
      <c r="AB72" s="480">
        <f t="shared" si="17"/>
        <v>0</v>
      </c>
      <c r="AC72" s="480">
        <f t="shared" si="10"/>
        <v>0</v>
      </c>
      <c r="AD72" s="1112" t="str">
        <f t="shared" si="15"/>
        <v/>
      </c>
      <c r="AE72" s="459">
        <f>IF(AD72="",0,ROUND((VLOOKUP(Z72,Compsch!$A$11:$I$390,9)-(VLOOKUP(Z72,Compsch!$A$11:$I$390,7)))*(VLOOKUP(AD72,MeritSch!$A$5:$B$370,2)),0))</f>
        <v>0</v>
      </c>
      <c r="AF72" s="480">
        <f t="shared" si="18"/>
        <v>0</v>
      </c>
      <c r="AG72" s="605">
        <f t="shared" si="11"/>
        <v>0</v>
      </c>
      <c r="AH72" s="373">
        <f>IF(H72="Y",((((AA72+AB72+AG72)*W72)*Rates!$I$379))/24,(((AA72+AB72+AG72)*W72)/24))</f>
        <v>0</v>
      </c>
      <c r="AI72" s="464">
        <f t="shared" si="12"/>
        <v>0</v>
      </c>
      <c r="AJ72" s="465"/>
      <c r="AK72" s="479">
        <f>IF(H72="Y",(AI72*Rates!$I$379+AJ72),(AI72+AJ72))</f>
        <v>0</v>
      </c>
      <c r="AL72" s="426">
        <f t="shared" si="13"/>
        <v>0</v>
      </c>
      <c r="AM72" s="463">
        <f t="shared" si="3"/>
        <v>0</v>
      </c>
      <c r="AN72" s="37">
        <v>63</v>
      </c>
      <c r="AO72" s="1096"/>
      <c r="AP72" s="1097"/>
      <c r="AQ72" s="387"/>
      <c r="AR72" s="1070"/>
      <c r="AS72" s="387"/>
      <c r="AT72" s="1097"/>
      <c r="AU72" s="428"/>
      <c r="AV72" s="622"/>
      <c r="AW72" s="623"/>
    </row>
    <row r="73" spans="1:49" ht="27" hidden="1" customHeight="1" x14ac:dyDescent="0.2">
      <c r="A73" s="37">
        <v>64</v>
      </c>
      <c r="B73" s="509"/>
      <c r="C73" s="510"/>
      <c r="D73" s="511"/>
      <c r="E73" s="512"/>
      <c r="F73" s="1115"/>
      <c r="G73" s="1110" t="str">
        <f t="shared" si="14"/>
        <v>No</v>
      </c>
      <c r="H73" s="513"/>
      <c r="I73" s="482"/>
      <c r="J73" s="70"/>
      <c r="K73" s="1120">
        <f t="shared" si="4"/>
        <v>0</v>
      </c>
      <c r="L73" s="1125"/>
      <c r="M73" s="396"/>
      <c r="N73" s="593"/>
      <c r="O73" s="354">
        <f t="shared" si="5"/>
        <v>0</v>
      </c>
      <c r="P73" s="355">
        <f>IF(H73="y",(((N73+O73)*Rates!$J$331))/24,((N73+O73)/24))</f>
        <v>0</v>
      </c>
      <c r="Q73" s="355">
        <f t="shared" si="16"/>
        <v>0</v>
      </c>
      <c r="R73" s="101">
        <f>IF(H73="Y",Rates!$I$362*Q73,Q73)</f>
        <v>0</v>
      </c>
      <c r="S73" s="101">
        <f t="shared" si="7"/>
        <v>0</v>
      </c>
      <c r="T73" s="66">
        <f t="shared" si="8"/>
        <v>0</v>
      </c>
      <c r="U73" s="63"/>
      <c r="V73" s="462"/>
      <c r="W73" s="1120">
        <f t="shared" si="9"/>
        <v>0</v>
      </c>
      <c r="X73" s="1125"/>
      <c r="Y73" s="396"/>
      <c r="Z73" s="481"/>
      <c r="AA73" s="480">
        <f>IF(Z73="",0,ROUND(VLOOKUP(Z73,Compsch!$A$10:$B$509,2),2))</f>
        <v>0</v>
      </c>
      <c r="AB73" s="480">
        <f t="shared" si="17"/>
        <v>0</v>
      </c>
      <c r="AC73" s="480">
        <f t="shared" si="10"/>
        <v>0</v>
      </c>
      <c r="AD73" s="1112" t="str">
        <f t="shared" si="15"/>
        <v/>
      </c>
      <c r="AE73" s="459">
        <f>IF(AD73="",0,ROUND((VLOOKUP(Z73,Compsch!$A$11:$I$390,9)-(VLOOKUP(Z73,Compsch!$A$11:$I$390,7)))*(VLOOKUP(AD73,MeritSch!$A$5:$B$370,2)),0))</f>
        <v>0</v>
      </c>
      <c r="AF73" s="480">
        <f t="shared" si="18"/>
        <v>0</v>
      </c>
      <c r="AG73" s="605">
        <f t="shared" si="11"/>
        <v>0</v>
      </c>
      <c r="AH73" s="373">
        <f>IF(H73="Y",((((AA73+AB73+AG73)*W73)*Rates!$I$379))/24,(((AA73+AB73+AG73)*W73)/24))</f>
        <v>0</v>
      </c>
      <c r="AI73" s="464">
        <f t="shared" si="12"/>
        <v>0</v>
      </c>
      <c r="AJ73" s="465"/>
      <c r="AK73" s="479">
        <f>IF(H73="Y",(AI73*Rates!$I$379+AJ73),(AI73+AJ73))</f>
        <v>0</v>
      </c>
      <c r="AL73" s="426">
        <f t="shared" si="13"/>
        <v>0</v>
      </c>
      <c r="AM73" s="463">
        <f t="shared" si="3"/>
        <v>0</v>
      </c>
      <c r="AN73" s="37">
        <v>64</v>
      </c>
      <c r="AO73" s="1096"/>
      <c r="AP73" s="1097"/>
      <c r="AQ73" s="387"/>
      <c r="AR73" s="1070"/>
      <c r="AS73" s="387"/>
      <c r="AT73" s="1097"/>
      <c r="AU73" s="428"/>
      <c r="AV73" s="622"/>
      <c r="AW73" s="623"/>
    </row>
    <row r="74" spans="1:49" ht="27" hidden="1" customHeight="1" x14ac:dyDescent="0.2">
      <c r="A74" s="37">
        <v>65</v>
      </c>
      <c r="B74" s="509"/>
      <c r="C74" s="510"/>
      <c r="D74" s="511"/>
      <c r="E74" s="512"/>
      <c r="F74" s="1115"/>
      <c r="G74" s="1110" t="str">
        <f t="shared" si="14"/>
        <v>No</v>
      </c>
      <c r="H74" s="513"/>
      <c r="I74" s="482"/>
      <c r="J74" s="70"/>
      <c r="K74" s="1120">
        <f t="shared" si="4"/>
        <v>0</v>
      </c>
      <c r="L74" s="1125"/>
      <c r="M74" s="396"/>
      <c r="N74" s="593"/>
      <c r="O74" s="354">
        <f t="shared" si="5"/>
        <v>0</v>
      </c>
      <c r="P74" s="355">
        <f>IF(H74="y",(((N74+O74)*Rates!$J$331))/24,((N74+O74)/24))</f>
        <v>0</v>
      </c>
      <c r="Q74" s="355">
        <f t="shared" ref="Q74:Q105" si="19">P74*M74*K74</f>
        <v>0</v>
      </c>
      <c r="R74" s="101">
        <f>IF(H74="Y",Rates!$I$362*Q74,Q74)</f>
        <v>0</v>
      </c>
      <c r="S74" s="101">
        <f t="shared" si="7"/>
        <v>0</v>
      </c>
      <c r="T74" s="66">
        <f t="shared" si="8"/>
        <v>0</v>
      </c>
      <c r="U74" s="63"/>
      <c r="V74" s="462"/>
      <c r="W74" s="1120">
        <f t="shared" si="9"/>
        <v>0</v>
      </c>
      <c r="X74" s="1125"/>
      <c r="Y74" s="396"/>
      <c r="Z74" s="481"/>
      <c r="AA74" s="480">
        <f>IF(Z74="",0,ROUND(VLOOKUP(Z74,Compsch!$A$10:$B$509,2),2))</f>
        <v>0</v>
      </c>
      <c r="AB74" s="480">
        <f t="shared" ref="AB74:AB105" si="20">AA74*IF(I74="Both",0.05*2,IF(I74="",0,0.05))</f>
        <v>0</v>
      </c>
      <c r="AC74" s="480">
        <f t="shared" si="10"/>
        <v>0</v>
      </c>
      <c r="AD74" s="1112" t="str">
        <f t="shared" si="15"/>
        <v/>
      </c>
      <c r="AE74" s="459">
        <f>IF(AD74="",0,ROUND((VLOOKUP(Z74,Compsch!$A$11:$I$390,9)-(VLOOKUP(Z74,Compsch!$A$11:$I$390,7)))*(VLOOKUP(AD74,MeritSch!$A$5:$B$370,2)),0))</f>
        <v>0</v>
      </c>
      <c r="AF74" s="480">
        <f t="shared" ref="AF74:AF105" si="21">AE74*IF(I74="Both",0.1,IF(I74="",0,0.05))</f>
        <v>0</v>
      </c>
      <c r="AG74" s="605">
        <f t="shared" si="11"/>
        <v>0</v>
      </c>
      <c r="AH74" s="373">
        <f>IF(H74="Y",((((AA74+AB74+AG74)*W74)*Rates!$I$379))/24,(((AA74+AB74+AG74)*W74)/24))</f>
        <v>0</v>
      </c>
      <c r="AI74" s="464">
        <f t="shared" si="12"/>
        <v>0</v>
      </c>
      <c r="AJ74" s="465"/>
      <c r="AK74" s="479">
        <f>IF(H74="Y",(AI74*Rates!$I$379+AJ74),(AI74+AJ74))</f>
        <v>0</v>
      </c>
      <c r="AL74" s="426">
        <f t="shared" si="13"/>
        <v>0</v>
      </c>
      <c r="AM74" s="463">
        <f t="shared" ref="AM74:AM109" si="22">SUM(AL74:AL74)</f>
        <v>0</v>
      </c>
      <c r="AN74" s="37">
        <v>65</v>
      </c>
      <c r="AO74" s="1096"/>
      <c r="AP74" s="1097"/>
      <c r="AQ74" s="387"/>
      <c r="AR74" s="1070"/>
      <c r="AS74" s="387"/>
      <c r="AT74" s="1097"/>
      <c r="AU74" s="428"/>
      <c r="AV74" s="622"/>
      <c r="AW74" s="623"/>
    </row>
    <row r="75" spans="1:49" ht="27" hidden="1" customHeight="1" x14ac:dyDescent="0.2">
      <c r="A75" s="37">
        <v>66</v>
      </c>
      <c r="B75" s="509"/>
      <c r="C75" s="510"/>
      <c r="D75" s="511"/>
      <c r="E75" s="512"/>
      <c r="F75" s="1115"/>
      <c r="G75" s="1110" t="str">
        <f t="shared" ref="G75:G109" si="23">IFERROR(IF(F75&lt;$G$9,"No","Yes"),"")</f>
        <v>No</v>
      </c>
      <c r="H75" s="513"/>
      <c r="I75" s="482"/>
      <c r="J75" s="70"/>
      <c r="K75" s="1120">
        <f t="shared" ref="K75:K109" si="24">ROUND(L75,2)</f>
        <v>0</v>
      </c>
      <c r="L75" s="1125"/>
      <c r="M75" s="396"/>
      <c r="N75" s="593"/>
      <c r="O75" s="354">
        <f t="shared" ref="O75:O109" si="25">N75*IF(I75="Both",0.05*2,IF(I75="",0,0.05))</f>
        <v>0</v>
      </c>
      <c r="P75" s="355">
        <f>IF(H75="y",(((N75+O75)*Rates!$J$331))/24,((N75+O75)/24))</f>
        <v>0</v>
      </c>
      <c r="Q75" s="355">
        <f t="shared" si="19"/>
        <v>0</v>
      </c>
      <c r="R75" s="101">
        <f>IF(H75="Y",Rates!$I$362*Q75,Q75)</f>
        <v>0</v>
      </c>
      <c r="S75" s="101">
        <f t="shared" ref="S75:S109" si="26">R75*$S$9</f>
        <v>0</v>
      </c>
      <c r="T75" s="66">
        <f t="shared" ref="T75:T109" si="27">S75</f>
        <v>0</v>
      </c>
      <c r="U75" s="63"/>
      <c r="V75" s="462"/>
      <c r="W75" s="1120">
        <f t="shared" ref="W75:W109" si="28">ROUND(X75,2)</f>
        <v>0</v>
      </c>
      <c r="X75" s="1125"/>
      <c r="Y75" s="396"/>
      <c r="Z75" s="481"/>
      <c r="AA75" s="480">
        <f>IF(Z75="",0,ROUND(VLOOKUP(Z75,Compsch!$A$10:$B$509,2),2))</f>
        <v>0</v>
      </c>
      <c r="AB75" s="480">
        <f t="shared" si="20"/>
        <v>0</v>
      </c>
      <c r="AC75" s="480">
        <f t="shared" ref="AC75:AC109" si="29">AA75+AB75</f>
        <v>0</v>
      </c>
      <c r="AD75" s="1112" t="str">
        <f t="shared" si="15"/>
        <v/>
      </c>
      <c r="AE75" s="459">
        <f>IF(AD75="",0,ROUND((VLOOKUP(Z75,Compsch!$A$11:$I$390,9)-(VLOOKUP(Z75,Compsch!$A$11:$I$390,7)))*(VLOOKUP(AD75,MeritSch!$A$5:$B$370,2)),0))</f>
        <v>0</v>
      </c>
      <c r="AF75" s="480">
        <f t="shared" si="21"/>
        <v>0</v>
      </c>
      <c r="AG75" s="605">
        <f t="shared" ref="AG75:AG109" si="30">AE75+AF75</f>
        <v>0</v>
      </c>
      <c r="AH75" s="373">
        <f>IF(H75="Y",((((AA75+AB75+AG75)*W75)*Rates!$I$379))/24,(((AA75+AB75+AG75)*W75)/24))</f>
        <v>0</v>
      </c>
      <c r="AI75" s="464">
        <f t="shared" ref="AI75:AI109" si="31">((AC75+AG75)/24)*Y75*W75</f>
        <v>0</v>
      </c>
      <c r="AJ75" s="465"/>
      <c r="AK75" s="479">
        <f>IF(H75="Y",(AI75*Rates!$I$379+AJ75),(AI75+AJ75))</f>
        <v>0</v>
      </c>
      <c r="AL75" s="426">
        <f t="shared" ref="AL75:AL109" si="32">AK75*$AL$9</f>
        <v>0</v>
      </c>
      <c r="AM75" s="463">
        <f t="shared" si="22"/>
        <v>0</v>
      </c>
      <c r="AN75" s="37">
        <v>66</v>
      </c>
      <c r="AO75" s="1096"/>
      <c r="AP75" s="1097"/>
      <c r="AQ75" s="387"/>
      <c r="AR75" s="1070"/>
      <c r="AS75" s="387"/>
      <c r="AT75" s="1097"/>
      <c r="AU75" s="428"/>
      <c r="AV75" s="622"/>
      <c r="AW75" s="623"/>
    </row>
    <row r="76" spans="1:49" ht="27" hidden="1" customHeight="1" x14ac:dyDescent="0.2">
      <c r="A76" s="37">
        <v>67</v>
      </c>
      <c r="B76" s="509"/>
      <c r="C76" s="510"/>
      <c r="D76" s="511"/>
      <c r="E76" s="512"/>
      <c r="F76" s="1115"/>
      <c r="G76" s="1110" t="str">
        <f t="shared" si="23"/>
        <v>No</v>
      </c>
      <c r="H76" s="513"/>
      <c r="I76" s="482"/>
      <c r="J76" s="70"/>
      <c r="K76" s="1120">
        <f t="shared" si="24"/>
        <v>0</v>
      </c>
      <c r="L76" s="1125"/>
      <c r="M76" s="396"/>
      <c r="N76" s="593"/>
      <c r="O76" s="354">
        <f t="shared" si="25"/>
        <v>0</v>
      </c>
      <c r="P76" s="355">
        <f>IF(H76="y",(((N76+O76)*Rates!$J$331))/24,((N76+O76)/24))</f>
        <v>0</v>
      </c>
      <c r="Q76" s="355">
        <f t="shared" si="19"/>
        <v>0</v>
      </c>
      <c r="R76" s="101">
        <f>IF(H76="Y",Rates!$I$362*Q76,Q76)</f>
        <v>0</v>
      </c>
      <c r="S76" s="101">
        <f t="shared" si="26"/>
        <v>0</v>
      </c>
      <c r="T76" s="66">
        <f t="shared" si="27"/>
        <v>0</v>
      </c>
      <c r="U76" s="63"/>
      <c r="V76" s="462"/>
      <c r="W76" s="1120">
        <f t="shared" si="28"/>
        <v>0</v>
      </c>
      <c r="X76" s="1125"/>
      <c r="Y76" s="396"/>
      <c r="Z76" s="481"/>
      <c r="AA76" s="480">
        <f>IF(Z76="",0,ROUND(VLOOKUP(Z76,Compsch!$A$10:$B$509,2),2))</f>
        <v>0</v>
      </c>
      <c r="AB76" s="480">
        <f t="shared" si="20"/>
        <v>0</v>
      </c>
      <c r="AC76" s="480">
        <f t="shared" si="29"/>
        <v>0</v>
      </c>
      <c r="AD76" s="1112" t="str">
        <f t="shared" ref="AD76:AD109" si="33">IF(AND(F76="",V76&lt;&gt;"Y"),"",IF(OR(RIGHT(Z76,2)="10",V76="Y"),DATE(2021,7,1),IF(G76="No",DATE(YEAR(F76)+1,MONTH(F76),DAY(F76)),F76)))</f>
        <v/>
      </c>
      <c r="AE76" s="459">
        <f>IF(AD76="",0,ROUND((VLOOKUP(Z76,Compsch!$A$11:$I$390,9)-(VLOOKUP(Z76,Compsch!$A$11:$I$390,7)))*(VLOOKUP(AD76,MeritSch!$A$5:$B$370,2)),0))</f>
        <v>0</v>
      </c>
      <c r="AF76" s="480">
        <f t="shared" si="21"/>
        <v>0</v>
      </c>
      <c r="AG76" s="605">
        <f t="shared" si="30"/>
        <v>0</v>
      </c>
      <c r="AH76" s="373">
        <f>IF(H76="Y",((((AA76+AB76+AG76)*W76)*Rates!$I$379))/24,(((AA76+AB76+AG76)*W76)/24))</f>
        <v>0</v>
      </c>
      <c r="AI76" s="464">
        <f t="shared" si="31"/>
        <v>0</v>
      </c>
      <c r="AJ76" s="465"/>
      <c r="AK76" s="479">
        <f>IF(H76="Y",(AI76*Rates!$I$379+AJ76),(AI76+AJ76))</f>
        <v>0</v>
      </c>
      <c r="AL76" s="426">
        <f t="shared" si="32"/>
        <v>0</v>
      </c>
      <c r="AM76" s="463">
        <f t="shared" si="22"/>
        <v>0</v>
      </c>
      <c r="AN76" s="37">
        <v>67</v>
      </c>
      <c r="AO76" s="1096"/>
      <c r="AP76" s="1097"/>
      <c r="AQ76" s="387"/>
      <c r="AR76" s="1070"/>
      <c r="AS76" s="387"/>
      <c r="AT76" s="1097"/>
      <c r="AU76" s="428"/>
      <c r="AV76" s="622"/>
      <c r="AW76" s="623"/>
    </row>
    <row r="77" spans="1:49" ht="27" hidden="1" customHeight="1" x14ac:dyDescent="0.2">
      <c r="A77" s="37">
        <v>68</v>
      </c>
      <c r="B77" s="509"/>
      <c r="C77" s="510"/>
      <c r="D77" s="511"/>
      <c r="E77" s="512"/>
      <c r="F77" s="1115"/>
      <c r="G77" s="1110" t="str">
        <f t="shared" si="23"/>
        <v>No</v>
      </c>
      <c r="H77" s="513"/>
      <c r="I77" s="482"/>
      <c r="J77" s="70"/>
      <c r="K77" s="1120">
        <f t="shared" si="24"/>
        <v>0</v>
      </c>
      <c r="L77" s="1125"/>
      <c r="M77" s="396"/>
      <c r="N77" s="593"/>
      <c r="O77" s="354">
        <f t="shared" si="25"/>
        <v>0</v>
      </c>
      <c r="P77" s="355">
        <f>IF(H77="y",(((N77+O77)*Rates!$J$331))/24,((N77+O77)/24))</f>
        <v>0</v>
      </c>
      <c r="Q77" s="355">
        <f t="shared" si="19"/>
        <v>0</v>
      </c>
      <c r="R77" s="101">
        <f>IF(H77="Y",Rates!$I$362*Q77,Q77)</f>
        <v>0</v>
      </c>
      <c r="S77" s="101">
        <f t="shared" si="26"/>
        <v>0</v>
      </c>
      <c r="T77" s="66">
        <f t="shared" si="27"/>
        <v>0</v>
      </c>
      <c r="U77" s="63"/>
      <c r="V77" s="462"/>
      <c r="W77" s="1120">
        <f t="shared" si="28"/>
        <v>0</v>
      </c>
      <c r="X77" s="1125"/>
      <c r="Y77" s="396"/>
      <c r="Z77" s="481"/>
      <c r="AA77" s="480">
        <f>IF(Z77="",0,ROUND(VLOOKUP(Z77,Compsch!$A$10:$B$509,2),2))</f>
        <v>0</v>
      </c>
      <c r="AB77" s="480">
        <f t="shared" si="20"/>
        <v>0</v>
      </c>
      <c r="AC77" s="480">
        <f t="shared" si="29"/>
        <v>0</v>
      </c>
      <c r="AD77" s="1112" t="str">
        <f t="shared" si="33"/>
        <v/>
      </c>
      <c r="AE77" s="459">
        <f>IF(AD77="",0,ROUND((VLOOKUP(Z77,Compsch!$A$11:$I$390,9)-(VLOOKUP(Z77,Compsch!$A$11:$I$390,7)))*(VLOOKUP(AD77,MeritSch!$A$5:$B$370,2)),0))</f>
        <v>0</v>
      </c>
      <c r="AF77" s="480">
        <f t="shared" si="21"/>
        <v>0</v>
      </c>
      <c r="AG77" s="605">
        <f t="shared" si="30"/>
        <v>0</v>
      </c>
      <c r="AH77" s="373">
        <f>IF(H77="Y",((((AA77+AB77+AG77)*W77)*Rates!$I$379))/24,(((AA77+AB77+AG77)*W77)/24))</f>
        <v>0</v>
      </c>
      <c r="AI77" s="464">
        <f t="shared" si="31"/>
        <v>0</v>
      </c>
      <c r="AJ77" s="465"/>
      <c r="AK77" s="479">
        <f>IF(H77="Y",(AI77*Rates!$I$379+AJ77),(AI77+AJ77))</f>
        <v>0</v>
      </c>
      <c r="AL77" s="426">
        <f t="shared" si="32"/>
        <v>0</v>
      </c>
      <c r="AM77" s="463">
        <f t="shared" si="22"/>
        <v>0</v>
      </c>
      <c r="AN77" s="37">
        <v>68</v>
      </c>
      <c r="AO77" s="1096"/>
      <c r="AP77" s="1097"/>
      <c r="AQ77" s="387"/>
      <c r="AR77" s="1070"/>
      <c r="AS77" s="387"/>
      <c r="AT77" s="1097"/>
      <c r="AU77" s="428"/>
      <c r="AV77" s="622"/>
      <c r="AW77" s="623"/>
    </row>
    <row r="78" spans="1:49" ht="27" hidden="1" customHeight="1" x14ac:dyDescent="0.2">
      <c r="A78" s="37">
        <v>69</v>
      </c>
      <c r="B78" s="509"/>
      <c r="C78" s="510"/>
      <c r="D78" s="511"/>
      <c r="E78" s="512"/>
      <c r="F78" s="1115"/>
      <c r="G78" s="1110" t="str">
        <f t="shared" si="23"/>
        <v>No</v>
      </c>
      <c r="H78" s="513"/>
      <c r="I78" s="482"/>
      <c r="J78" s="70"/>
      <c r="K78" s="1120">
        <f t="shared" si="24"/>
        <v>0</v>
      </c>
      <c r="L78" s="1125"/>
      <c r="M78" s="396"/>
      <c r="N78" s="593"/>
      <c r="O78" s="354">
        <f t="shared" si="25"/>
        <v>0</v>
      </c>
      <c r="P78" s="355">
        <f>IF(H78="y",(((N78+O78)*Rates!$J$331))/24,((N78+O78)/24))</f>
        <v>0</v>
      </c>
      <c r="Q78" s="355">
        <f t="shared" si="19"/>
        <v>0</v>
      </c>
      <c r="R78" s="101">
        <f>IF(H78="Y",Rates!$I$362*Q78,Q78)</f>
        <v>0</v>
      </c>
      <c r="S78" s="101">
        <f t="shared" si="26"/>
        <v>0</v>
      </c>
      <c r="T78" s="66">
        <f t="shared" si="27"/>
        <v>0</v>
      </c>
      <c r="U78" s="63"/>
      <c r="V78" s="462"/>
      <c r="W78" s="1120">
        <f t="shared" si="28"/>
        <v>0</v>
      </c>
      <c r="X78" s="1125"/>
      <c r="Y78" s="396"/>
      <c r="Z78" s="481"/>
      <c r="AA78" s="480">
        <f>IF(Z78="",0,ROUND(VLOOKUP(Z78,Compsch!$A$10:$B$509,2),2))</f>
        <v>0</v>
      </c>
      <c r="AB78" s="480">
        <f t="shared" si="20"/>
        <v>0</v>
      </c>
      <c r="AC78" s="480">
        <f t="shared" si="29"/>
        <v>0</v>
      </c>
      <c r="AD78" s="1112" t="str">
        <f t="shared" si="33"/>
        <v/>
      </c>
      <c r="AE78" s="459">
        <f>IF(AD78="",0,ROUND((VLOOKUP(Z78,Compsch!$A$11:$I$390,9)-(VLOOKUP(Z78,Compsch!$A$11:$I$390,7)))*(VLOOKUP(AD78,MeritSch!$A$5:$B$370,2)),0))</f>
        <v>0</v>
      </c>
      <c r="AF78" s="480">
        <f t="shared" si="21"/>
        <v>0</v>
      </c>
      <c r="AG78" s="605">
        <f t="shared" si="30"/>
        <v>0</v>
      </c>
      <c r="AH78" s="373">
        <f>IF(H78="Y",((((AA78+AB78+AG78)*W78)*Rates!$I$379))/24,(((AA78+AB78+AG78)*W78)/24))</f>
        <v>0</v>
      </c>
      <c r="AI78" s="464">
        <f t="shared" si="31"/>
        <v>0</v>
      </c>
      <c r="AJ78" s="465"/>
      <c r="AK78" s="479">
        <f>IF(H78="Y",(AI78*Rates!$I$379+AJ78),(AI78+AJ78))</f>
        <v>0</v>
      </c>
      <c r="AL78" s="426">
        <f t="shared" si="32"/>
        <v>0</v>
      </c>
      <c r="AM78" s="463">
        <f t="shared" si="22"/>
        <v>0</v>
      </c>
      <c r="AN78" s="37">
        <v>69</v>
      </c>
      <c r="AO78" s="1096"/>
      <c r="AP78" s="1097"/>
      <c r="AQ78" s="387"/>
      <c r="AR78" s="1070"/>
      <c r="AS78" s="387"/>
      <c r="AT78" s="1097"/>
      <c r="AU78" s="428"/>
      <c r="AV78" s="622"/>
      <c r="AW78" s="623"/>
    </row>
    <row r="79" spans="1:49" ht="27" hidden="1" customHeight="1" x14ac:dyDescent="0.2">
      <c r="A79" s="37">
        <v>70</v>
      </c>
      <c r="B79" s="509"/>
      <c r="C79" s="510"/>
      <c r="D79" s="511"/>
      <c r="E79" s="512"/>
      <c r="F79" s="1115"/>
      <c r="G79" s="1110" t="str">
        <f t="shared" si="23"/>
        <v>No</v>
      </c>
      <c r="H79" s="513"/>
      <c r="I79" s="482"/>
      <c r="J79" s="70"/>
      <c r="K79" s="1120">
        <f t="shared" si="24"/>
        <v>0</v>
      </c>
      <c r="L79" s="1125"/>
      <c r="M79" s="396"/>
      <c r="N79" s="593"/>
      <c r="O79" s="354">
        <f t="shared" si="25"/>
        <v>0</v>
      </c>
      <c r="P79" s="355">
        <f>IF(H79="y",(((N79+O79)*Rates!$J$331))/24,((N79+O79)/24))</f>
        <v>0</v>
      </c>
      <c r="Q79" s="355">
        <f t="shared" si="19"/>
        <v>0</v>
      </c>
      <c r="R79" s="101">
        <f>IF(H79="Y",Rates!$I$362*Q79,Q79)</f>
        <v>0</v>
      </c>
      <c r="S79" s="101">
        <f t="shared" si="26"/>
        <v>0</v>
      </c>
      <c r="T79" s="66">
        <f t="shared" si="27"/>
        <v>0</v>
      </c>
      <c r="U79" s="63"/>
      <c r="V79" s="462"/>
      <c r="W79" s="1120">
        <f t="shared" si="28"/>
        <v>0</v>
      </c>
      <c r="X79" s="1125"/>
      <c r="Y79" s="396"/>
      <c r="Z79" s="481"/>
      <c r="AA79" s="480">
        <f>IF(Z79="",0,ROUND(VLOOKUP(Z79,Compsch!$A$10:$B$509,2),2))</f>
        <v>0</v>
      </c>
      <c r="AB79" s="480">
        <f t="shared" si="20"/>
        <v>0</v>
      </c>
      <c r="AC79" s="480">
        <f t="shared" si="29"/>
        <v>0</v>
      </c>
      <c r="AD79" s="1112" t="str">
        <f t="shared" si="33"/>
        <v/>
      </c>
      <c r="AE79" s="459">
        <f>IF(AD79="",0,ROUND((VLOOKUP(Z79,Compsch!$A$11:$I$390,9)-(VLOOKUP(Z79,Compsch!$A$11:$I$390,7)))*(VLOOKUP(AD79,MeritSch!$A$5:$B$370,2)),0))</f>
        <v>0</v>
      </c>
      <c r="AF79" s="480">
        <f t="shared" si="21"/>
        <v>0</v>
      </c>
      <c r="AG79" s="605">
        <f t="shared" si="30"/>
        <v>0</v>
      </c>
      <c r="AH79" s="373">
        <f>IF(H79="Y",((((AA79+AB79+AG79)*W79)*Rates!$I$379))/24,(((AA79+AB79+AG79)*W79)/24))</f>
        <v>0</v>
      </c>
      <c r="AI79" s="464">
        <f t="shared" si="31"/>
        <v>0</v>
      </c>
      <c r="AJ79" s="465"/>
      <c r="AK79" s="479">
        <f>IF(H79="Y",(AI79*Rates!$I$379+AJ79),(AI79+AJ79))</f>
        <v>0</v>
      </c>
      <c r="AL79" s="426">
        <f t="shared" si="32"/>
        <v>0</v>
      </c>
      <c r="AM79" s="463">
        <f t="shared" si="22"/>
        <v>0</v>
      </c>
      <c r="AN79" s="37">
        <v>70</v>
      </c>
      <c r="AO79" s="1096"/>
      <c r="AP79" s="1097"/>
      <c r="AQ79" s="387"/>
      <c r="AR79" s="1070"/>
      <c r="AS79" s="387"/>
      <c r="AT79" s="1097"/>
      <c r="AU79" s="428"/>
      <c r="AV79" s="622"/>
      <c r="AW79" s="623"/>
    </row>
    <row r="80" spans="1:49" ht="27" hidden="1" customHeight="1" x14ac:dyDescent="0.2">
      <c r="A80" s="37">
        <v>71</v>
      </c>
      <c r="B80" s="509"/>
      <c r="C80" s="510"/>
      <c r="D80" s="511"/>
      <c r="E80" s="512"/>
      <c r="F80" s="1115"/>
      <c r="G80" s="1110" t="str">
        <f t="shared" si="23"/>
        <v>No</v>
      </c>
      <c r="H80" s="513"/>
      <c r="I80" s="482"/>
      <c r="J80" s="70"/>
      <c r="K80" s="1120">
        <f t="shared" si="24"/>
        <v>0</v>
      </c>
      <c r="L80" s="1125"/>
      <c r="M80" s="396"/>
      <c r="N80" s="593"/>
      <c r="O80" s="354">
        <f t="shared" si="25"/>
        <v>0</v>
      </c>
      <c r="P80" s="355">
        <f>IF(H80="y",(((N80+O80)*Rates!$J$331))/24,((N80+O80)/24))</f>
        <v>0</v>
      </c>
      <c r="Q80" s="355">
        <f t="shared" si="19"/>
        <v>0</v>
      </c>
      <c r="R80" s="101">
        <f>IF(H80="Y",Rates!$I$362*Q80,Q80)</f>
        <v>0</v>
      </c>
      <c r="S80" s="101">
        <f t="shared" si="26"/>
        <v>0</v>
      </c>
      <c r="T80" s="66">
        <f t="shared" si="27"/>
        <v>0</v>
      </c>
      <c r="U80" s="63"/>
      <c r="V80" s="462"/>
      <c r="W80" s="1120">
        <f t="shared" si="28"/>
        <v>0</v>
      </c>
      <c r="X80" s="1125"/>
      <c r="Y80" s="396"/>
      <c r="Z80" s="481"/>
      <c r="AA80" s="480">
        <f>IF(Z80="",0,ROUND(VLOOKUP(Z80,Compsch!$A$10:$B$509,2),2))</f>
        <v>0</v>
      </c>
      <c r="AB80" s="480">
        <f t="shared" si="20"/>
        <v>0</v>
      </c>
      <c r="AC80" s="480">
        <f t="shared" si="29"/>
        <v>0</v>
      </c>
      <c r="AD80" s="1112" t="str">
        <f t="shared" si="33"/>
        <v/>
      </c>
      <c r="AE80" s="459">
        <f>IF(AD80="",0,ROUND((VLOOKUP(Z80,Compsch!$A$11:$I$390,9)-(VLOOKUP(Z80,Compsch!$A$11:$I$390,7)))*(VLOOKUP(AD80,MeritSch!$A$5:$B$370,2)),0))</f>
        <v>0</v>
      </c>
      <c r="AF80" s="480">
        <f t="shared" si="21"/>
        <v>0</v>
      </c>
      <c r="AG80" s="605">
        <f t="shared" si="30"/>
        <v>0</v>
      </c>
      <c r="AH80" s="373">
        <f>IF(H80="Y",((((AA80+AB80+AG80)*W80)*Rates!$I$379))/24,(((AA80+AB80+AG80)*W80)/24))</f>
        <v>0</v>
      </c>
      <c r="AI80" s="464">
        <f t="shared" si="31"/>
        <v>0</v>
      </c>
      <c r="AJ80" s="465"/>
      <c r="AK80" s="479">
        <f>IF(H80="Y",(AI80*Rates!$I$379+AJ80),(AI80+AJ80))</f>
        <v>0</v>
      </c>
      <c r="AL80" s="426">
        <f t="shared" si="32"/>
        <v>0</v>
      </c>
      <c r="AM80" s="463">
        <f t="shared" si="22"/>
        <v>0</v>
      </c>
      <c r="AN80" s="37">
        <v>71</v>
      </c>
      <c r="AO80" s="1096"/>
      <c r="AP80" s="1097"/>
      <c r="AQ80" s="387"/>
      <c r="AR80" s="1070"/>
      <c r="AS80" s="387"/>
      <c r="AT80" s="1097"/>
      <c r="AU80" s="428"/>
      <c r="AV80" s="622"/>
      <c r="AW80" s="623"/>
    </row>
    <row r="81" spans="1:49" ht="27" hidden="1" customHeight="1" x14ac:dyDescent="0.2">
      <c r="A81" s="37">
        <v>72</v>
      </c>
      <c r="B81" s="509"/>
      <c r="C81" s="510"/>
      <c r="D81" s="511"/>
      <c r="E81" s="512"/>
      <c r="F81" s="1115"/>
      <c r="G81" s="1110" t="str">
        <f t="shared" si="23"/>
        <v>No</v>
      </c>
      <c r="H81" s="513"/>
      <c r="I81" s="482"/>
      <c r="J81" s="70"/>
      <c r="K81" s="1120">
        <f t="shared" si="24"/>
        <v>0</v>
      </c>
      <c r="L81" s="1125"/>
      <c r="M81" s="396"/>
      <c r="N81" s="593"/>
      <c r="O81" s="354">
        <f t="shared" si="25"/>
        <v>0</v>
      </c>
      <c r="P81" s="355">
        <f>IF(H81="y",(((N81+O81)*Rates!$J$331))/24,((N81+O81)/24))</f>
        <v>0</v>
      </c>
      <c r="Q81" s="355">
        <f t="shared" si="19"/>
        <v>0</v>
      </c>
      <c r="R81" s="101">
        <f>IF(H81="Y",Rates!$I$362*Q81,Q81)</f>
        <v>0</v>
      </c>
      <c r="S81" s="101">
        <f t="shared" si="26"/>
        <v>0</v>
      </c>
      <c r="T81" s="66">
        <f t="shared" si="27"/>
        <v>0</v>
      </c>
      <c r="U81" s="63"/>
      <c r="V81" s="462"/>
      <c r="W81" s="1120">
        <f t="shared" si="28"/>
        <v>0</v>
      </c>
      <c r="X81" s="1125"/>
      <c r="Y81" s="396"/>
      <c r="Z81" s="481"/>
      <c r="AA81" s="480">
        <f>IF(Z81="",0,ROUND(VLOOKUP(Z81,Compsch!$A$10:$B$509,2),2))</f>
        <v>0</v>
      </c>
      <c r="AB81" s="480">
        <f t="shared" si="20"/>
        <v>0</v>
      </c>
      <c r="AC81" s="480">
        <f t="shared" si="29"/>
        <v>0</v>
      </c>
      <c r="AD81" s="1112" t="str">
        <f t="shared" si="33"/>
        <v/>
      </c>
      <c r="AE81" s="459">
        <f>IF(AD81="",0,ROUND((VLOOKUP(Z81,Compsch!$A$11:$I$390,9)-(VLOOKUP(Z81,Compsch!$A$11:$I$390,7)))*(VLOOKUP(AD81,MeritSch!$A$5:$B$370,2)),0))</f>
        <v>0</v>
      </c>
      <c r="AF81" s="480">
        <f t="shared" si="21"/>
        <v>0</v>
      </c>
      <c r="AG81" s="605">
        <f t="shared" si="30"/>
        <v>0</v>
      </c>
      <c r="AH81" s="373">
        <f>IF(H81="Y",((((AA81+AB81+AG81)*W81)*Rates!$I$379))/24,(((AA81+AB81+AG81)*W81)/24))</f>
        <v>0</v>
      </c>
      <c r="AI81" s="464">
        <f t="shared" si="31"/>
        <v>0</v>
      </c>
      <c r="AJ81" s="465"/>
      <c r="AK81" s="479">
        <f>IF(H81="Y",(AI81*Rates!$I$379+AJ81),(AI81+AJ81))</f>
        <v>0</v>
      </c>
      <c r="AL81" s="426">
        <f t="shared" si="32"/>
        <v>0</v>
      </c>
      <c r="AM81" s="463">
        <f t="shared" si="22"/>
        <v>0</v>
      </c>
      <c r="AN81" s="37">
        <v>72</v>
      </c>
      <c r="AO81" s="1096"/>
      <c r="AP81" s="1097"/>
      <c r="AQ81" s="387"/>
      <c r="AR81" s="1070"/>
      <c r="AS81" s="387"/>
      <c r="AT81" s="1097"/>
      <c r="AU81" s="428"/>
      <c r="AV81" s="622"/>
      <c r="AW81" s="623"/>
    </row>
    <row r="82" spans="1:49" ht="27" hidden="1" customHeight="1" x14ac:dyDescent="0.2">
      <c r="A82" s="37">
        <v>73</v>
      </c>
      <c r="B82" s="509"/>
      <c r="C82" s="510"/>
      <c r="D82" s="511"/>
      <c r="E82" s="512"/>
      <c r="F82" s="1115"/>
      <c r="G82" s="1110" t="str">
        <f t="shared" si="23"/>
        <v>No</v>
      </c>
      <c r="H82" s="513"/>
      <c r="I82" s="482"/>
      <c r="J82" s="70"/>
      <c r="K82" s="1120">
        <f t="shared" si="24"/>
        <v>0</v>
      </c>
      <c r="L82" s="1125"/>
      <c r="M82" s="396"/>
      <c r="N82" s="593"/>
      <c r="O82" s="354">
        <f t="shared" si="25"/>
        <v>0</v>
      </c>
      <c r="P82" s="355">
        <f>IF(H82="y",(((N82+O82)*Rates!$J$331))/24,((N82+O82)/24))</f>
        <v>0</v>
      </c>
      <c r="Q82" s="355">
        <f t="shared" si="19"/>
        <v>0</v>
      </c>
      <c r="R82" s="101">
        <f>IF(H82="Y",Rates!$I$362*Q82,Q82)</f>
        <v>0</v>
      </c>
      <c r="S82" s="101">
        <f t="shared" si="26"/>
        <v>0</v>
      </c>
      <c r="T82" s="66">
        <f t="shared" si="27"/>
        <v>0</v>
      </c>
      <c r="U82" s="63"/>
      <c r="V82" s="462"/>
      <c r="W82" s="1120">
        <f t="shared" si="28"/>
        <v>0</v>
      </c>
      <c r="X82" s="1125"/>
      <c r="Y82" s="396"/>
      <c r="Z82" s="481"/>
      <c r="AA82" s="480">
        <f>IF(Z82="",0,ROUND(VLOOKUP(Z82,Compsch!$A$10:$B$509,2),2))</f>
        <v>0</v>
      </c>
      <c r="AB82" s="480">
        <f t="shared" si="20"/>
        <v>0</v>
      </c>
      <c r="AC82" s="480">
        <f t="shared" si="29"/>
        <v>0</v>
      </c>
      <c r="AD82" s="1112" t="str">
        <f t="shared" si="33"/>
        <v/>
      </c>
      <c r="AE82" s="459">
        <f>IF(AD82="",0,ROUND((VLOOKUP(Z82,Compsch!$A$11:$I$390,9)-(VLOOKUP(Z82,Compsch!$A$11:$I$390,7)))*(VLOOKUP(AD82,MeritSch!$A$5:$B$370,2)),0))</f>
        <v>0</v>
      </c>
      <c r="AF82" s="480">
        <f t="shared" si="21"/>
        <v>0</v>
      </c>
      <c r="AG82" s="605">
        <f t="shared" si="30"/>
        <v>0</v>
      </c>
      <c r="AH82" s="373">
        <f>IF(H82="Y",((((AA82+AB82+AG82)*W82)*Rates!$I$379))/24,(((AA82+AB82+AG82)*W82)/24))</f>
        <v>0</v>
      </c>
      <c r="AI82" s="464">
        <f t="shared" si="31"/>
        <v>0</v>
      </c>
      <c r="AJ82" s="465"/>
      <c r="AK82" s="479">
        <f>IF(H82="Y",(AI82*Rates!$I$379+AJ82),(AI82+AJ82))</f>
        <v>0</v>
      </c>
      <c r="AL82" s="426">
        <f t="shared" si="32"/>
        <v>0</v>
      </c>
      <c r="AM82" s="463">
        <f t="shared" si="22"/>
        <v>0</v>
      </c>
      <c r="AN82" s="37">
        <v>73</v>
      </c>
      <c r="AO82" s="1096"/>
      <c r="AP82" s="1097"/>
      <c r="AQ82" s="387"/>
      <c r="AR82" s="1070"/>
      <c r="AS82" s="387"/>
      <c r="AT82" s="1097"/>
      <c r="AU82" s="428"/>
      <c r="AV82" s="622"/>
      <c r="AW82" s="623"/>
    </row>
    <row r="83" spans="1:49" ht="27" hidden="1" customHeight="1" x14ac:dyDescent="0.2">
      <c r="A83" s="37">
        <v>74</v>
      </c>
      <c r="B83" s="509"/>
      <c r="C83" s="510"/>
      <c r="D83" s="511"/>
      <c r="E83" s="512"/>
      <c r="F83" s="1115"/>
      <c r="G83" s="1110" t="str">
        <f t="shared" si="23"/>
        <v>No</v>
      </c>
      <c r="H83" s="513"/>
      <c r="I83" s="482"/>
      <c r="J83" s="70"/>
      <c r="K83" s="1120">
        <f t="shared" si="24"/>
        <v>0</v>
      </c>
      <c r="L83" s="1125"/>
      <c r="M83" s="396"/>
      <c r="N83" s="593"/>
      <c r="O83" s="354">
        <f t="shared" si="25"/>
        <v>0</v>
      </c>
      <c r="P83" s="355">
        <f>IF(H83="y",(((N83+O83)*Rates!$J$331))/24,((N83+O83)/24))</f>
        <v>0</v>
      </c>
      <c r="Q83" s="355">
        <f t="shared" si="19"/>
        <v>0</v>
      </c>
      <c r="R83" s="101">
        <f>IF(H83="Y",Rates!$I$362*Q83,Q83)</f>
        <v>0</v>
      </c>
      <c r="S83" s="101">
        <f t="shared" si="26"/>
        <v>0</v>
      </c>
      <c r="T83" s="66">
        <f t="shared" si="27"/>
        <v>0</v>
      </c>
      <c r="U83" s="63"/>
      <c r="V83" s="462"/>
      <c r="W83" s="1120">
        <f t="shared" si="28"/>
        <v>0</v>
      </c>
      <c r="X83" s="1125"/>
      <c r="Y83" s="396"/>
      <c r="Z83" s="481"/>
      <c r="AA83" s="480">
        <f>IF(Z83="",0,ROUND(VLOOKUP(Z83,Compsch!$A$10:$B$509,2),2))</f>
        <v>0</v>
      </c>
      <c r="AB83" s="480">
        <f t="shared" si="20"/>
        <v>0</v>
      </c>
      <c r="AC83" s="480">
        <f t="shared" si="29"/>
        <v>0</v>
      </c>
      <c r="AD83" s="1112" t="str">
        <f t="shared" si="33"/>
        <v/>
      </c>
      <c r="AE83" s="459">
        <f>IF(AD83="",0,ROUND((VLOOKUP(Z83,Compsch!$A$11:$I$390,9)-(VLOOKUP(Z83,Compsch!$A$11:$I$390,7)))*(VLOOKUP(AD83,MeritSch!$A$5:$B$370,2)),0))</f>
        <v>0</v>
      </c>
      <c r="AF83" s="480">
        <f t="shared" si="21"/>
        <v>0</v>
      </c>
      <c r="AG83" s="605">
        <f t="shared" si="30"/>
        <v>0</v>
      </c>
      <c r="AH83" s="373">
        <f>IF(H83="Y",((((AA83+AB83+AG83)*W83)*Rates!$I$379))/24,(((AA83+AB83+AG83)*W83)/24))</f>
        <v>0</v>
      </c>
      <c r="AI83" s="464">
        <f t="shared" si="31"/>
        <v>0</v>
      </c>
      <c r="AJ83" s="465"/>
      <c r="AK83" s="479">
        <f>IF(H83="Y",(AI83*Rates!$I$379+AJ83),(AI83+AJ83))</f>
        <v>0</v>
      </c>
      <c r="AL83" s="426">
        <f t="shared" si="32"/>
        <v>0</v>
      </c>
      <c r="AM83" s="463">
        <f t="shared" si="22"/>
        <v>0</v>
      </c>
      <c r="AN83" s="37">
        <v>74</v>
      </c>
      <c r="AO83" s="1096"/>
      <c r="AP83" s="1097"/>
      <c r="AQ83" s="387"/>
      <c r="AR83" s="1070"/>
      <c r="AS83" s="387"/>
      <c r="AT83" s="1097"/>
      <c r="AU83" s="428"/>
      <c r="AV83" s="622"/>
      <c r="AW83" s="623"/>
    </row>
    <row r="84" spans="1:49" ht="27" hidden="1" customHeight="1" x14ac:dyDescent="0.2">
      <c r="A84" s="37">
        <v>75</v>
      </c>
      <c r="B84" s="509"/>
      <c r="C84" s="510"/>
      <c r="D84" s="511"/>
      <c r="E84" s="512"/>
      <c r="F84" s="1115"/>
      <c r="G84" s="1110" t="str">
        <f t="shared" si="23"/>
        <v>No</v>
      </c>
      <c r="H84" s="513"/>
      <c r="I84" s="482"/>
      <c r="J84" s="70"/>
      <c r="K84" s="1120">
        <f t="shared" si="24"/>
        <v>0</v>
      </c>
      <c r="L84" s="1125"/>
      <c r="M84" s="396"/>
      <c r="N84" s="593"/>
      <c r="O84" s="354">
        <f t="shared" si="25"/>
        <v>0</v>
      </c>
      <c r="P84" s="355">
        <f>IF(H84="y",(((N84+O84)*Rates!$J$331))/24,((N84+O84)/24))</f>
        <v>0</v>
      </c>
      <c r="Q84" s="355">
        <f t="shared" si="19"/>
        <v>0</v>
      </c>
      <c r="R84" s="101">
        <f>IF(H84="Y",Rates!$I$362*Q84,Q84)</f>
        <v>0</v>
      </c>
      <c r="S84" s="101">
        <f t="shared" si="26"/>
        <v>0</v>
      </c>
      <c r="T84" s="66">
        <f t="shared" si="27"/>
        <v>0</v>
      </c>
      <c r="U84" s="63"/>
      <c r="V84" s="462"/>
      <c r="W84" s="1120">
        <f t="shared" si="28"/>
        <v>0</v>
      </c>
      <c r="X84" s="1125"/>
      <c r="Y84" s="396"/>
      <c r="Z84" s="481"/>
      <c r="AA84" s="480">
        <f>IF(Z84="",0,ROUND(VLOOKUP(Z84,Compsch!$A$10:$B$509,2),2))</f>
        <v>0</v>
      </c>
      <c r="AB84" s="480">
        <f t="shared" si="20"/>
        <v>0</v>
      </c>
      <c r="AC84" s="480">
        <f t="shared" si="29"/>
        <v>0</v>
      </c>
      <c r="AD84" s="1112" t="str">
        <f t="shared" si="33"/>
        <v/>
      </c>
      <c r="AE84" s="459">
        <f>IF(AD84="",0,ROUND((VLOOKUP(Z84,Compsch!$A$11:$I$390,9)-(VLOOKUP(Z84,Compsch!$A$11:$I$390,7)))*(VLOOKUP(AD84,MeritSch!$A$5:$B$370,2)),0))</f>
        <v>0</v>
      </c>
      <c r="AF84" s="480">
        <f t="shared" si="21"/>
        <v>0</v>
      </c>
      <c r="AG84" s="605">
        <f t="shared" si="30"/>
        <v>0</v>
      </c>
      <c r="AH84" s="373">
        <f>IF(H84="Y",((((AA84+AB84+AG84)*W84)*Rates!$I$379))/24,(((AA84+AB84+AG84)*W84)/24))</f>
        <v>0</v>
      </c>
      <c r="AI84" s="464">
        <f t="shared" si="31"/>
        <v>0</v>
      </c>
      <c r="AJ84" s="465"/>
      <c r="AK84" s="479">
        <f>IF(H84="Y",(AI84*Rates!$I$379+AJ84),(AI84+AJ84))</f>
        <v>0</v>
      </c>
      <c r="AL84" s="426">
        <f t="shared" si="32"/>
        <v>0</v>
      </c>
      <c r="AM84" s="463">
        <f t="shared" si="22"/>
        <v>0</v>
      </c>
      <c r="AN84" s="37">
        <v>75</v>
      </c>
      <c r="AO84" s="1096"/>
      <c r="AP84" s="1097"/>
      <c r="AQ84" s="387"/>
      <c r="AR84" s="1070"/>
      <c r="AS84" s="387"/>
      <c r="AT84" s="1097"/>
      <c r="AU84" s="428"/>
      <c r="AV84" s="622"/>
      <c r="AW84" s="623"/>
    </row>
    <row r="85" spans="1:49" ht="27" hidden="1" customHeight="1" x14ac:dyDescent="0.2">
      <c r="A85" s="37">
        <v>76</v>
      </c>
      <c r="B85" s="509"/>
      <c r="C85" s="510"/>
      <c r="D85" s="511"/>
      <c r="E85" s="512"/>
      <c r="F85" s="1115"/>
      <c r="G85" s="1110" t="str">
        <f t="shared" si="23"/>
        <v>No</v>
      </c>
      <c r="H85" s="513"/>
      <c r="I85" s="482"/>
      <c r="J85" s="70"/>
      <c r="K85" s="1120">
        <f t="shared" si="24"/>
        <v>0</v>
      </c>
      <c r="L85" s="1125"/>
      <c r="M85" s="396"/>
      <c r="N85" s="593"/>
      <c r="O85" s="354">
        <f t="shared" si="25"/>
        <v>0</v>
      </c>
      <c r="P85" s="355">
        <f>IF(H85="y",(((N85+O85)*Rates!$J$331))/24,((N85+O85)/24))</f>
        <v>0</v>
      </c>
      <c r="Q85" s="355">
        <f t="shared" si="19"/>
        <v>0</v>
      </c>
      <c r="R85" s="101">
        <f>IF(H85="Y",Rates!$I$362*Q85,Q85)</f>
        <v>0</v>
      </c>
      <c r="S85" s="101">
        <f t="shared" si="26"/>
        <v>0</v>
      </c>
      <c r="T85" s="66">
        <f t="shared" si="27"/>
        <v>0</v>
      </c>
      <c r="U85" s="63"/>
      <c r="V85" s="462"/>
      <c r="W85" s="1120">
        <f t="shared" si="28"/>
        <v>0</v>
      </c>
      <c r="X85" s="1125"/>
      <c r="Y85" s="396"/>
      <c r="Z85" s="481"/>
      <c r="AA85" s="480">
        <f>IF(Z85="",0,ROUND(VLOOKUP(Z85,Compsch!$A$10:$B$509,2),2))</f>
        <v>0</v>
      </c>
      <c r="AB85" s="480">
        <f t="shared" si="20"/>
        <v>0</v>
      </c>
      <c r="AC85" s="480">
        <f t="shared" si="29"/>
        <v>0</v>
      </c>
      <c r="AD85" s="1112" t="str">
        <f t="shared" si="33"/>
        <v/>
      </c>
      <c r="AE85" s="459">
        <f>IF(AD85="",0,ROUND((VLOOKUP(Z85,Compsch!$A$11:$I$390,9)-(VLOOKUP(Z85,Compsch!$A$11:$I$390,7)))*(VLOOKUP(AD85,MeritSch!$A$5:$B$370,2)),0))</f>
        <v>0</v>
      </c>
      <c r="AF85" s="480">
        <f t="shared" si="21"/>
        <v>0</v>
      </c>
      <c r="AG85" s="605">
        <f t="shared" si="30"/>
        <v>0</v>
      </c>
      <c r="AH85" s="373">
        <f>IF(H85="Y",((((AA85+AB85+AG85)*W85)*Rates!$I$379))/24,(((AA85+AB85+AG85)*W85)/24))</f>
        <v>0</v>
      </c>
      <c r="AI85" s="464">
        <f t="shared" si="31"/>
        <v>0</v>
      </c>
      <c r="AJ85" s="465"/>
      <c r="AK85" s="479">
        <f>IF(H85="Y",(AI85*Rates!$I$379+AJ85),(AI85+AJ85))</f>
        <v>0</v>
      </c>
      <c r="AL85" s="426">
        <f t="shared" si="32"/>
        <v>0</v>
      </c>
      <c r="AM85" s="463">
        <f t="shared" si="22"/>
        <v>0</v>
      </c>
      <c r="AN85" s="37">
        <v>76</v>
      </c>
      <c r="AO85" s="1096"/>
      <c r="AP85" s="1097"/>
      <c r="AQ85" s="387"/>
      <c r="AR85" s="1070"/>
      <c r="AS85" s="387"/>
      <c r="AT85" s="1097"/>
      <c r="AU85" s="428"/>
      <c r="AV85" s="622"/>
      <c r="AW85" s="623"/>
    </row>
    <row r="86" spans="1:49" ht="27" hidden="1" customHeight="1" x14ac:dyDescent="0.2">
      <c r="A86" s="37">
        <v>77</v>
      </c>
      <c r="B86" s="509"/>
      <c r="C86" s="510"/>
      <c r="D86" s="511"/>
      <c r="E86" s="512"/>
      <c r="F86" s="1115"/>
      <c r="G86" s="1110" t="str">
        <f t="shared" si="23"/>
        <v>No</v>
      </c>
      <c r="H86" s="513"/>
      <c r="I86" s="482"/>
      <c r="J86" s="70"/>
      <c r="K86" s="1120">
        <f t="shared" si="24"/>
        <v>0</v>
      </c>
      <c r="L86" s="1125"/>
      <c r="M86" s="396"/>
      <c r="N86" s="593"/>
      <c r="O86" s="354">
        <f t="shared" si="25"/>
        <v>0</v>
      </c>
      <c r="P86" s="355">
        <f>IF(H86="y",(((N86+O86)*Rates!$J$331))/24,((N86+O86)/24))</f>
        <v>0</v>
      </c>
      <c r="Q86" s="355">
        <f t="shared" si="19"/>
        <v>0</v>
      </c>
      <c r="R86" s="101">
        <f>IF(H86="Y",Rates!$I$362*Q86,Q86)</f>
        <v>0</v>
      </c>
      <c r="S86" s="101">
        <f t="shared" si="26"/>
        <v>0</v>
      </c>
      <c r="T86" s="66">
        <f t="shared" si="27"/>
        <v>0</v>
      </c>
      <c r="U86" s="63"/>
      <c r="V86" s="462"/>
      <c r="W86" s="1120">
        <f t="shared" si="28"/>
        <v>0</v>
      </c>
      <c r="X86" s="1125"/>
      <c r="Y86" s="396"/>
      <c r="Z86" s="481"/>
      <c r="AA86" s="480">
        <f>IF(Z86="",0,ROUND(VLOOKUP(Z86,Compsch!$A$10:$B$509,2),2))</f>
        <v>0</v>
      </c>
      <c r="AB86" s="480">
        <f t="shared" si="20"/>
        <v>0</v>
      </c>
      <c r="AC86" s="480">
        <f t="shared" si="29"/>
        <v>0</v>
      </c>
      <c r="AD86" s="1112" t="str">
        <f t="shared" si="33"/>
        <v/>
      </c>
      <c r="AE86" s="459">
        <f>IF(AD86="",0,ROUND((VLOOKUP(Z86,Compsch!$A$11:$I$390,9)-(VLOOKUP(Z86,Compsch!$A$11:$I$390,7)))*(VLOOKUP(AD86,MeritSch!$A$5:$B$370,2)),0))</f>
        <v>0</v>
      </c>
      <c r="AF86" s="480">
        <f t="shared" si="21"/>
        <v>0</v>
      </c>
      <c r="AG86" s="605">
        <f t="shared" si="30"/>
        <v>0</v>
      </c>
      <c r="AH86" s="373">
        <f>IF(H86="Y",((((AA86+AB86+AG86)*W86)*Rates!$I$379))/24,(((AA86+AB86+AG86)*W86)/24))</f>
        <v>0</v>
      </c>
      <c r="AI86" s="464">
        <f t="shared" si="31"/>
        <v>0</v>
      </c>
      <c r="AJ86" s="465"/>
      <c r="AK86" s="479">
        <f>IF(H86="Y",(AI86*Rates!$I$379+AJ86),(AI86+AJ86))</f>
        <v>0</v>
      </c>
      <c r="AL86" s="426">
        <f t="shared" si="32"/>
        <v>0</v>
      </c>
      <c r="AM86" s="463">
        <f t="shared" si="22"/>
        <v>0</v>
      </c>
      <c r="AN86" s="37">
        <v>77</v>
      </c>
      <c r="AO86" s="1096"/>
      <c r="AP86" s="1097"/>
      <c r="AQ86" s="387"/>
      <c r="AR86" s="1070"/>
      <c r="AS86" s="387"/>
      <c r="AT86" s="1097"/>
      <c r="AU86" s="428"/>
      <c r="AV86" s="622"/>
      <c r="AW86" s="623"/>
    </row>
    <row r="87" spans="1:49" ht="27" hidden="1" customHeight="1" x14ac:dyDescent="0.2">
      <c r="A87" s="37">
        <v>78</v>
      </c>
      <c r="B87" s="509"/>
      <c r="C87" s="510"/>
      <c r="D87" s="511"/>
      <c r="E87" s="512"/>
      <c r="F87" s="1115"/>
      <c r="G87" s="1110" t="str">
        <f t="shared" si="23"/>
        <v>No</v>
      </c>
      <c r="H87" s="513"/>
      <c r="I87" s="482"/>
      <c r="J87" s="70"/>
      <c r="K87" s="1120">
        <f t="shared" si="24"/>
        <v>0</v>
      </c>
      <c r="L87" s="1125"/>
      <c r="M87" s="396"/>
      <c r="N87" s="593"/>
      <c r="O87" s="354">
        <f t="shared" si="25"/>
        <v>0</v>
      </c>
      <c r="P87" s="355">
        <f>IF(H87="y",(((N87+O87)*Rates!$J$331))/24,((N87+O87)/24))</f>
        <v>0</v>
      </c>
      <c r="Q87" s="355">
        <f t="shared" si="19"/>
        <v>0</v>
      </c>
      <c r="R87" s="101">
        <f>IF(H87="Y",Rates!$I$362*Q87,Q87)</f>
        <v>0</v>
      </c>
      <c r="S87" s="101">
        <f t="shared" si="26"/>
        <v>0</v>
      </c>
      <c r="T87" s="66">
        <f t="shared" si="27"/>
        <v>0</v>
      </c>
      <c r="U87" s="63"/>
      <c r="V87" s="462"/>
      <c r="W87" s="1120">
        <f t="shared" si="28"/>
        <v>0</v>
      </c>
      <c r="X87" s="1125"/>
      <c r="Y87" s="396"/>
      <c r="Z87" s="481"/>
      <c r="AA87" s="480">
        <f>IF(Z87="",0,ROUND(VLOOKUP(Z87,Compsch!$A$10:$B$509,2),2))</f>
        <v>0</v>
      </c>
      <c r="AB87" s="480">
        <f t="shared" si="20"/>
        <v>0</v>
      </c>
      <c r="AC87" s="480">
        <f t="shared" si="29"/>
        <v>0</v>
      </c>
      <c r="AD87" s="1112" t="str">
        <f t="shared" si="33"/>
        <v/>
      </c>
      <c r="AE87" s="459">
        <f>IF(AD87="",0,ROUND((VLOOKUP(Z87,Compsch!$A$11:$I$390,9)-(VLOOKUP(Z87,Compsch!$A$11:$I$390,7)))*(VLOOKUP(AD87,MeritSch!$A$5:$B$370,2)),0))</f>
        <v>0</v>
      </c>
      <c r="AF87" s="480">
        <f t="shared" si="21"/>
        <v>0</v>
      </c>
      <c r="AG87" s="605">
        <f t="shared" si="30"/>
        <v>0</v>
      </c>
      <c r="AH87" s="373">
        <f>IF(H87="Y",((((AA87+AB87+AG87)*W87)*Rates!$I$379))/24,(((AA87+AB87+AG87)*W87)/24))</f>
        <v>0</v>
      </c>
      <c r="AI87" s="464">
        <f t="shared" si="31"/>
        <v>0</v>
      </c>
      <c r="AJ87" s="465"/>
      <c r="AK87" s="479">
        <f>IF(H87="Y",(AI87*Rates!$I$379+AJ87),(AI87+AJ87))</f>
        <v>0</v>
      </c>
      <c r="AL87" s="426">
        <f t="shared" si="32"/>
        <v>0</v>
      </c>
      <c r="AM87" s="463">
        <f t="shared" si="22"/>
        <v>0</v>
      </c>
      <c r="AN87" s="37">
        <v>78</v>
      </c>
      <c r="AO87" s="1096"/>
      <c r="AP87" s="1097"/>
      <c r="AQ87" s="387"/>
      <c r="AR87" s="1070"/>
      <c r="AS87" s="387"/>
      <c r="AT87" s="1097"/>
      <c r="AU87" s="428"/>
      <c r="AV87" s="622"/>
      <c r="AW87" s="623"/>
    </row>
    <row r="88" spans="1:49" ht="27" hidden="1" customHeight="1" x14ac:dyDescent="0.2">
      <c r="A88" s="37">
        <v>79</v>
      </c>
      <c r="B88" s="509"/>
      <c r="C88" s="510"/>
      <c r="D88" s="511"/>
      <c r="E88" s="512"/>
      <c r="F88" s="1115"/>
      <c r="G88" s="1110" t="str">
        <f t="shared" si="23"/>
        <v>No</v>
      </c>
      <c r="H88" s="513"/>
      <c r="I88" s="482"/>
      <c r="J88" s="70"/>
      <c r="K88" s="1120">
        <f t="shared" si="24"/>
        <v>0</v>
      </c>
      <c r="L88" s="1125"/>
      <c r="M88" s="396"/>
      <c r="N88" s="593"/>
      <c r="O88" s="354">
        <f t="shared" si="25"/>
        <v>0</v>
      </c>
      <c r="P88" s="355">
        <f>IF(H88="y",(((N88+O88)*Rates!$J$331))/24,((N88+O88)/24))</f>
        <v>0</v>
      </c>
      <c r="Q88" s="355">
        <f t="shared" si="19"/>
        <v>0</v>
      </c>
      <c r="R88" s="101">
        <f>IF(H88="Y",Rates!$I$362*Q88,Q88)</f>
        <v>0</v>
      </c>
      <c r="S88" s="101">
        <f t="shared" si="26"/>
        <v>0</v>
      </c>
      <c r="T88" s="66">
        <f t="shared" si="27"/>
        <v>0</v>
      </c>
      <c r="U88" s="63"/>
      <c r="V88" s="462"/>
      <c r="W88" s="1120">
        <f t="shared" si="28"/>
        <v>0</v>
      </c>
      <c r="X88" s="1125"/>
      <c r="Y88" s="396"/>
      <c r="Z88" s="481"/>
      <c r="AA88" s="480">
        <f>IF(Z88="",0,ROUND(VLOOKUP(Z88,Compsch!$A$10:$B$509,2),2))</f>
        <v>0</v>
      </c>
      <c r="AB88" s="480">
        <f t="shared" si="20"/>
        <v>0</v>
      </c>
      <c r="AC88" s="480">
        <f t="shared" si="29"/>
        <v>0</v>
      </c>
      <c r="AD88" s="1112" t="str">
        <f t="shared" si="33"/>
        <v/>
      </c>
      <c r="AE88" s="459">
        <f>IF(AD88="",0,ROUND((VLOOKUP(Z88,Compsch!$A$11:$I$390,9)-(VLOOKUP(Z88,Compsch!$A$11:$I$390,7)))*(VLOOKUP(AD88,MeritSch!$A$5:$B$370,2)),0))</f>
        <v>0</v>
      </c>
      <c r="AF88" s="480">
        <f t="shared" si="21"/>
        <v>0</v>
      </c>
      <c r="AG88" s="605">
        <f t="shared" si="30"/>
        <v>0</v>
      </c>
      <c r="AH88" s="373">
        <f>IF(H88="Y",((((AA88+AB88+AG88)*W88)*Rates!$I$379))/24,(((AA88+AB88+AG88)*W88)/24))</f>
        <v>0</v>
      </c>
      <c r="AI88" s="464">
        <f t="shared" si="31"/>
        <v>0</v>
      </c>
      <c r="AJ88" s="465"/>
      <c r="AK88" s="479">
        <f>IF(H88="Y",(AI88*Rates!$I$379+AJ88),(AI88+AJ88))</f>
        <v>0</v>
      </c>
      <c r="AL88" s="426">
        <f t="shared" si="32"/>
        <v>0</v>
      </c>
      <c r="AM88" s="463">
        <f t="shared" si="22"/>
        <v>0</v>
      </c>
      <c r="AN88" s="37">
        <v>79</v>
      </c>
      <c r="AO88" s="1096"/>
      <c r="AP88" s="1097"/>
      <c r="AQ88" s="387"/>
      <c r="AR88" s="1070"/>
      <c r="AS88" s="387"/>
      <c r="AT88" s="1097"/>
      <c r="AU88" s="428"/>
      <c r="AV88" s="622"/>
      <c r="AW88" s="623"/>
    </row>
    <row r="89" spans="1:49" ht="27" hidden="1" customHeight="1" x14ac:dyDescent="0.2">
      <c r="A89" s="37">
        <v>80</v>
      </c>
      <c r="B89" s="509"/>
      <c r="C89" s="510"/>
      <c r="D89" s="511"/>
      <c r="E89" s="512"/>
      <c r="F89" s="1115"/>
      <c r="G89" s="1110" t="str">
        <f t="shared" si="23"/>
        <v>No</v>
      </c>
      <c r="H89" s="513"/>
      <c r="I89" s="482"/>
      <c r="J89" s="70"/>
      <c r="K89" s="1120">
        <f t="shared" si="24"/>
        <v>0</v>
      </c>
      <c r="L89" s="1125"/>
      <c r="M89" s="396"/>
      <c r="N89" s="593"/>
      <c r="O89" s="354">
        <f t="shared" si="25"/>
        <v>0</v>
      </c>
      <c r="P89" s="355">
        <f>IF(H89="y",(((N89+O89)*Rates!$J$331))/24,((N89+O89)/24))</f>
        <v>0</v>
      </c>
      <c r="Q89" s="355">
        <f t="shared" si="19"/>
        <v>0</v>
      </c>
      <c r="R89" s="101">
        <f>IF(H89="Y",Rates!$I$362*Q89,Q89)</f>
        <v>0</v>
      </c>
      <c r="S89" s="101">
        <f t="shared" si="26"/>
        <v>0</v>
      </c>
      <c r="T89" s="66">
        <f t="shared" si="27"/>
        <v>0</v>
      </c>
      <c r="U89" s="63"/>
      <c r="V89" s="462"/>
      <c r="W89" s="1120">
        <f t="shared" si="28"/>
        <v>0</v>
      </c>
      <c r="X89" s="1125"/>
      <c r="Y89" s="396"/>
      <c r="Z89" s="481"/>
      <c r="AA89" s="480">
        <f>IF(Z89="",0,ROUND(VLOOKUP(Z89,Compsch!$A$10:$B$509,2),2))</f>
        <v>0</v>
      </c>
      <c r="AB89" s="480">
        <f t="shared" si="20"/>
        <v>0</v>
      </c>
      <c r="AC89" s="480">
        <f t="shared" si="29"/>
        <v>0</v>
      </c>
      <c r="AD89" s="1112" t="str">
        <f t="shared" si="33"/>
        <v/>
      </c>
      <c r="AE89" s="459">
        <f>IF(AD89="",0,ROUND((VLOOKUP(Z89,Compsch!$A$11:$I$390,9)-(VLOOKUP(Z89,Compsch!$A$11:$I$390,7)))*(VLOOKUP(AD89,MeritSch!$A$5:$B$370,2)),0))</f>
        <v>0</v>
      </c>
      <c r="AF89" s="480">
        <f t="shared" si="21"/>
        <v>0</v>
      </c>
      <c r="AG89" s="605">
        <f t="shared" si="30"/>
        <v>0</v>
      </c>
      <c r="AH89" s="373">
        <f>IF(H89="Y",((((AA89+AB89+AG89)*W89)*Rates!$I$379))/24,(((AA89+AB89+AG89)*W89)/24))</f>
        <v>0</v>
      </c>
      <c r="AI89" s="464">
        <f t="shared" si="31"/>
        <v>0</v>
      </c>
      <c r="AJ89" s="465"/>
      <c r="AK89" s="479">
        <f>IF(H89="Y",(AI89*Rates!$I$379+AJ89),(AI89+AJ89))</f>
        <v>0</v>
      </c>
      <c r="AL89" s="426">
        <f t="shared" si="32"/>
        <v>0</v>
      </c>
      <c r="AM89" s="463">
        <f t="shared" si="22"/>
        <v>0</v>
      </c>
      <c r="AN89" s="37">
        <v>80</v>
      </c>
      <c r="AO89" s="1096"/>
      <c r="AP89" s="1097"/>
      <c r="AQ89" s="387"/>
      <c r="AR89" s="1070"/>
      <c r="AS89" s="387"/>
      <c r="AT89" s="1097"/>
      <c r="AU89" s="428"/>
      <c r="AV89" s="622"/>
      <c r="AW89" s="623"/>
    </row>
    <row r="90" spans="1:49" ht="27" hidden="1" customHeight="1" x14ac:dyDescent="0.2">
      <c r="A90" s="37">
        <v>81</v>
      </c>
      <c r="B90" s="509"/>
      <c r="C90" s="510"/>
      <c r="D90" s="511"/>
      <c r="E90" s="512"/>
      <c r="F90" s="1115"/>
      <c r="G90" s="1110" t="str">
        <f t="shared" si="23"/>
        <v>No</v>
      </c>
      <c r="H90" s="513"/>
      <c r="I90" s="482"/>
      <c r="J90" s="70"/>
      <c r="K90" s="1120">
        <f t="shared" si="24"/>
        <v>0</v>
      </c>
      <c r="L90" s="1125"/>
      <c r="M90" s="396"/>
      <c r="N90" s="593"/>
      <c r="O90" s="354">
        <f t="shared" si="25"/>
        <v>0</v>
      </c>
      <c r="P90" s="355">
        <f>IF(H90="y",(((N90+O90)*Rates!$J$331))/24,((N90+O90)/24))</f>
        <v>0</v>
      </c>
      <c r="Q90" s="355">
        <f t="shared" si="19"/>
        <v>0</v>
      </c>
      <c r="R90" s="101">
        <f>IF(H90="Y",Rates!$I$362*Q90,Q90)</f>
        <v>0</v>
      </c>
      <c r="S90" s="101">
        <f t="shared" si="26"/>
        <v>0</v>
      </c>
      <c r="T90" s="66">
        <f t="shared" si="27"/>
        <v>0</v>
      </c>
      <c r="U90" s="63"/>
      <c r="V90" s="462"/>
      <c r="W90" s="1120">
        <f t="shared" si="28"/>
        <v>0</v>
      </c>
      <c r="X90" s="1125"/>
      <c r="Y90" s="396"/>
      <c r="Z90" s="481"/>
      <c r="AA90" s="480">
        <f>IF(Z90="",0,ROUND(VLOOKUP(Z90,Compsch!$A$10:$B$509,2),2))</f>
        <v>0</v>
      </c>
      <c r="AB90" s="480">
        <f t="shared" si="20"/>
        <v>0</v>
      </c>
      <c r="AC90" s="480">
        <f t="shared" si="29"/>
        <v>0</v>
      </c>
      <c r="AD90" s="1112" t="str">
        <f t="shared" si="33"/>
        <v/>
      </c>
      <c r="AE90" s="459">
        <f>IF(AD90="",0,ROUND((VLOOKUP(Z90,Compsch!$A$11:$I$390,9)-(VLOOKUP(Z90,Compsch!$A$11:$I$390,7)))*(VLOOKUP(AD90,MeritSch!$A$5:$B$370,2)),0))</f>
        <v>0</v>
      </c>
      <c r="AF90" s="480">
        <f t="shared" si="21"/>
        <v>0</v>
      </c>
      <c r="AG90" s="605">
        <f t="shared" si="30"/>
        <v>0</v>
      </c>
      <c r="AH90" s="373">
        <f>IF(H90="Y",((((AA90+AB90+AG90)*W90)*Rates!$I$379))/24,(((AA90+AB90+AG90)*W90)/24))</f>
        <v>0</v>
      </c>
      <c r="AI90" s="464">
        <f t="shared" si="31"/>
        <v>0</v>
      </c>
      <c r="AJ90" s="465"/>
      <c r="AK90" s="479">
        <f>IF(H90="Y",(AI90*Rates!$I$379+AJ90),(AI90+AJ90))</f>
        <v>0</v>
      </c>
      <c r="AL90" s="426">
        <f t="shared" si="32"/>
        <v>0</v>
      </c>
      <c r="AM90" s="463">
        <f t="shared" si="22"/>
        <v>0</v>
      </c>
      <c r="AN90" s="37">
        <v>81</v>
      </c>
      <c r="AO90" s="1096"/>
      <c r="AP90" s="1097"/>
      <c r="AQ90" s="387"/>
      <c r="AR90" s="1070"/>
      <c r="AS90" s="387"/>
      <c r="AT90" s="1097"/>
      <c r="AU90" s="428"/>
      <c r="AV90" s="622"/>
      <c r="AW90" s="623"/>
    </row>
    <row r="91" spans="1:49" ht="27" hidden="1" customHeight="1" x14ac:dyDescent="0.2">
      <c r="A91" s="37">
        <v>82</v>
      </c>
      <c r="B91" s="509"/>
      <c r="C91" s="510"/>
      <c r="D91" s="511"/>
      <c r="E91" s="512"/>
      <c r="F91" s="1115"/>
      <c r="G91" s="1110" t="str">
        <f t="shared" si="23"/>
        <v>No</v>
      </c>
      <c r="H91" s="513"/>
      <c r="I91" s="482"/>
      <c r="J91" s="70"/>
      <c r="K91" s="1120">
        <f t="shared" si="24"/>
        <v>0</v>
      </c>
      <c r="L91" s="1125"/>
      <c r="M91" s="396"/>
      <c r="N91" s="593"/>
      <c r="O91" s="354">
        <f t="shared" si="25"/>
        <v>0</v>
      </c>
      <c r="P91" s="355">
        <f>IF(H91="y",(((N91+O91)*Rates!$J$331))/24,((N91+O91)/24))</f>
        <v>0</v>
      </c>
      <c r="Q91" s="355">
        <f t="shared" si="19"/>
        <v>0</v>
      </c>
      <c r="R91" s="101">
        <f>IF(H91="Y",Rates!$I$362*Q91,Q91)</f>
        <v>0</v>
      </c>
      <c r="S91" s="101">
        <f t="shared" si="26"/>
        <v>0</v>
      </c>
      <c r="T91" s="66">
        <f t="shared" si="27"/>
        <v>0</v>
      </c>
      <c r="U91" s="63"/>
      <c r="V91" s="462"/>
      <c r="W91" s="1120">
        <f t="shared" si="28"/>
        <v>0</v>
      </c>
      <c r="X91" s="1125"/>
      <c r="Y91" s="396"/>
      <c r="Z91" s="481"/>
      <c r="AA91" s="480">
        <f>IF(Z91="",0,ROUND(VLOOKUP(Z91,Compsch!$A$10:$B$509,2),2))</f>
        <v>0</v>
      </c>
      <c r="AB91" s="480">
        <f t="shared" si="20"/>
        <v>0</v>
      </c>
      <c r="AC91" s="480">
        <f t="shared" si="29"/>
        <v>0</v>
      </c>
      <c r="AD91" s="1112" t="str">
        <f t="shared" si="33"/>
        <v/>
      </c>
      <c r="AE91" s="459">
        <f>IF(AD91="",0,ROUND((VLOOKUP(Z91,Compsch!$A$11:$I$390,9)-(VLOOKUP(Z91,Compsch!$A$11:$I$390,7)))*(VLOOKUP(AD91,MeritSch!$A$5:$B$370,2)),0))</f>
        <v>0</v>
      </c>
      <c r="AF91" s="480">
        <f t="shared" si="21"/>
        <v>0</v>
      </c>
      <c r="AG91" s="605">
        <f t="shared" si="30"/>
        <v>0</v>
      </c>
      <c r="AH91" s="373">
        <f>IF(H91="Y",((((AA91+AB91+AG91)*W91)*Rates!$I$379))/24,(((AA91+AB91+AG91)*W91)/24))</f>
        <v>0</v>
      </c>
      <c r="AI91" s="464">
        <f t="shared" si="31"/>
        <v>0</v>
      </c>
      <c r="AJ91" s="465"/>
      <c r="AK91" s="479">
        <f>IF(H91="Y",(AI91*Rates!$I$379+AJ91),(AI91+AJ91))</f>
        <v>0</v>
      </c>
      <c r="AL91" s="426">
        <f t="shared" si="32"/>
        <v>0</v>
      </c>
      <c r="AM91" s="463">
        <f t="shared" si="22"/>
        <v>0</v>
      </c>
      <c r="AN91" s="37">
        <v>82</v>
      </c>
      <c r="AO91" s="1096"/>
      <c r="AP91" s="1097"/>
      <c r="AQ91" s="387"/>
      <c r="AR91" s="1070"/>
      <c r="AS91" s="387"/>
      <c r="AT91" s="1097"/>
      <c r="AU91" s="428"/>
      <c r="AV91" s="622"/>
      <c r="AW91" s="623"/>
    </row>
    <row r="92" spans="1:49" ht="27" hidden="1" customHeight="1" x14ac:dyDescent="0.2">
      <c r="A92" s="37">
        <v>83</v>
      </c>
      <c r="B92" s="509"/>
      <c r="C92" s="510"/>
      <c r="D92" s="511"/>
      <c r="E92" s="512"/>
      <c r="F92" s="1115"/>
      <c r="G92" s="1110" t="str">
        <f t="shared" si="23"/>
        <v>No</v>
      </c>
      <c r="H92" s="513"/>
      <c r="I92" s="482"/>
      <c r="J92" s="70"/>
      <c r="K92" s="1120">
        <f t="shared" si="24"/>
        <v>0</v>
      </c>
      <c r="L92" s="1125"/>
      <c r="M92" s="396"/>
      <c r="N92" s="593"/>
      <c r="O92" s="354">
        <f t="shared" si="25"/>
        <v>0</v>
      </c>
      <c r="P92" s="355">
        <f>IF(H92="y",(((N92+O92)*Rates!$J$331))/24,((N92+O92)/24))</f>
        <v>0</v>
      </c>
      <c r="Q92" s="355">
        <f t="shared" si="19"/>
        <v>0</v>
      </c>
      <c r="R92" s="101">
        <f>IF(H92="Y",Rates!$I$362*Q92,Q92)</f>
        <v>0</v>
      </c>
      <c r="S92" s="101">
        <f t="shared" si="26"/>
        <v>0</v>
      </c>
      <c r="T92" s="66">
        <f t="shared" si="27"/>
        <v>0</v>
      </c>
      <c r="U92" s="63"/>
      <c r="V92" s="462"/>
      <c r="W92" s="1120">
        <f t="shared" si="28"/>
        <v>0</v>
      </c>
      <c r="X92" s="1125"/>
      <c r="Y92" s="396"/>
      <c r="Z92" s="481"/>
      <c r="AA92" s="480">
        <f>IF(Z92="",0,ROUND(VLOOKUP(Z92,Compsch!$A$10:$B$509,2),2))</f>
        <v>0</v>
      </c>
      <c r="AB92" s="480">
        <f t="shared" si="20"/>
        <v>0</v>
      </c>
      <c r="AC92" s="480">
        <f t="shared" si="29"/>
        <v>0</v>
      </c>
      <c r="AD92" s="1112" t="str">
        <f t="shared" si="33"/>
        <v/>
      </c>
      <c r="AE92" s="459">
        <f>IF(AD92="",0,ROUND((VLOOKUP(Z92,Compsch!$A$11:$I$390,9)-(VLOOKUP(Z92,Compsch!$A$11:$I$390,7)))*(VLOOKUP(AD92,MeritSch!$A$5:$B$370,2)),0))</f>
        <v>0</v>
      </c>
      <c r="AF92" s="480">
        <f t="shared" si="21"/>
        <v>0</v>
      </c>
      <c r="AG92" s="605">
        <f t="shared" si="30"/>
        <v>0</v>
      </c>
      <c r="AH92" s="373">
        <f>IF(H92="Y",((((AA92+AB92+AG92)*W92)*Rates!$I$379))/24,(((AA92+AB92+AG92)*W92)/24))</f>
        <v>0</v>
      </c>
      <c r="AI92" s="464">
        <f t="shared" si="31"/>
        <v>0</v>
      </c>
      <c r="AJ92" s="465"/>
      <c r="AK92" s="479">
        <f>IF(H92="Y",(AI92*Rates!$I$379+AJ92),(AI92+AJ92))</f>
        <v>0</v>
      </c>
      <c r="AL92" s="426">
        <f t="shared" si="32"/>
        <v>0</v>
      </c>
      <c r="AM92" s="463">
        <f t="shared" si="22"/>
        <v>0</v>
      </c>
      <c r="AN92" s="37">
        <v>83</v>
      </c>
      <c r="AO92" s="1096"/>
      <c r="AP92" s="1097"/>
      <c r="AQ92" s="387"/>
      <c r="AR92" s="1070"/>
      <c r="AS92" s="387"/>
      <c r="AT92" s="1097"/>
      <c r="AU92" s="428"/>
      <c r="AV92" s="622"/>
      <c r="AW92" s="623"/>
    </row>
    <row r="93" spans="1:49" ht="27" hidden="1" customHeight="1" x14ac:dyDescent="0.2">
      <c r="A93" s="37">
        <v>84</v>
      </c>
      <c r="B93" s="509"/>
      <c r="C93" s="510"/>
      <c r="D93" s="511"/>
      <c r="E93" s="512"/>
      <c r="F93" s="1115"/>
      <c r="G93" s="1110" t="str">
        <f t="shared" si="23"/>
        <v>No</v>
      </c>
      <c r="H93" s="513"/>
      <c r="I93" s="482"/>
      <c r="J93" s="70"/>
      <c r="K93" s="1120">
        <f t="shared" si="24"/>
        <v>0</v>
      </c>
      <c r="L93" s="1125"/>
      <c r="M93" s="396"/>
      <c r="N93" s="593"/>
      <c r="O93" s="354">
        <f t="shared" si="25"/>
        <v>0</v>
      </c>
      <c r="P93" s="355">
        <f>IF(H93="y",(((N93+O93)*Rates!$J$331))/24,((N93+O93)/24))</f>
        <v>0</v>
      </c>
      <c r="Q93" s="355">
        <f t="shared" si="19"/>
        <v>0</v>
      </c>
      <c r="R93" s="101">
        <f>IF(H93="Y",Rates!$I$362*Q93,Q93)</f>
        <v>0</v>
      </c>
      <c r="S93" s="101">
        <f t="shared" si="26"/>
        <v>0</v>
      </c>
      <c r="T93" s="66">
        <f t="shared" si="27"/>
        <v>0</v>
      </c>
      <c r="U93" s="63"/>
      <c r="V93" s="462"/>
      <c r="W93" s="1120">
        <f t="shared" si="28"/>
        <v>0</v>
      </c>
      <c r="X93" s="1125"/>
      <c r="Y93" s="396"/>
      <c r="Z93" s="481"/>
      <c r="AA93" s="480">
        <f>IF(Z93="",0,ROUND(VLOOKUP(Z93,Compsch!$A$10:$B$509,2),2))</f>
        <v>0</v>
      </c>
      <c r="AB93" s="480">
        <f t="shared" si="20"/>
        <v>0</v>
      </c>
      <c r="AC93" s="480">
        <f t="shared" si="29"/>
        <v>0</v>
      </c>
      <c r="AD93" s="1112" t="str">
        <f t="shared" si="33"/>
        <v/>
      </c>
      <c r="AE93" s="459">
        <f>IF(AD93="",0,ROUND((VLOOKUP(Z93,Compsch!$A$11:$I$390,9)-(VLOOKUP(Z93,Compsch!$A$11:$I$390,7)))*(VLOOKUP(AD93,MeritSch!$A$5:$B$370,2)),0))</f>
        <v>0</v>
      </c>
      <c r="AF93" s="480">
        <f t="shared" si="21"/>
        <v>0</v>
      </c>
      <c r="AG93" s="605">
        <f t="shared" si="30"/>
        <v>0</v>
      </c>
      <c r="AH93" s="373">
        <f>IF(H93="Y",((((AA93+AB93+AG93)*W93)*Rates!$I$379))/24,(((AA93+AB93+AG93)*W93)/24))</f>
        <v>0</v>
      </c>
      <c r="AI93" s="464">
        <f t="shared" si="31"/>
        <v>0</v>
      </c>
      <c r="AJ93" s="465"/>
      <c r="AK93" s="479">
        <f>IF(H93="Y",(AI93*Rates!$I$379+AJ93),(AI93+AJ93))</f>
        <v>0</v>
      </c>
      <c r="AL93" s="426">
        <f t="shared" si="32"/>
        <v>0</v>
      </c>
      <c r="AM93" s="463">
        <f t="shared" si="22"/>
        <v>0</v>
      </c>
      <c r="AN93" s="37">
        <v>84</v>
      </c>
      <c r="AO93" s="1096"/>
      <c r="AP93" s="1097"/>
      <c r="AQ93" s="387"/>
      <c r="AR93" s="1070"/>
      <c r="AS93" s="387"/>
      <c r="AT93" s="1097"/>
      <c r="AU93" s="428"/>
      <c r="AV93" s="622"/>
      <c r="AW93" s="623"/>
    </row>
    <row r="94" spans="1:49" ht="27" hidden="1" customHeight="1" x14ac:dyDescent="0.2">
      <c r="A94" s="37">
        <v>85</v>
      </c>
      <c r="B94" s="509"/>
      <c r="C94" s="510"/>
      <c r="D94" s="511"/>
      <c r="E94" s="512"/>
      <c r="F94" s="1115"/>
      <c r="G94" s="1110" t="str">
        <f t="shared" si="23"/>
        <v>No</v>
      </c>
      <c r="H94" s="513"/>
      <c r="I94" s="482"/>
      <c r="J94" s="70"/>
      <c r="K94" s="1120">
        <f t="shared" si="24"/>
        <v>0</v>
      </c>
      <c r="L94" s="1125"/>
      <c r="M94" s="396"/>
      <c r="N94" s="593"/>
      <c r="O94" s="354">
        <f t="shared" si="25"/>
        <v>0</v>
      </c>
      <c r="P94" s="355">
        <f>IF(H94="y",(((N94+O94)*Rates!$J$331))/24,((N94+O94)/24))</f>
        <v>0</v>
      </c>
      <c r="Q94" s="355">
        <f t="shared" si="19"/>
        <v>0</v>
      </c>
      <c r="R94" s="101">
        <f>IF(H94="Y",Rates!$I$362*Q94,Q94)</f>
        <v>0</v>
      </c>
      <c r="S94" s="101">
        <f t="shared" si="26"/>
        <v>0</v>
      </c>
      <c r="T94" s="66">
        <f t="shared" si="27"/>
        <v>0</v>
      </c>
      <c r="U94" s="63"/>
      <c r="V94" s="462"/>
      <c r="W94" s="1120">
        <f t="shared" si="28"/>
        <v>0</v>
      </c>
      <c r="X94" s="1125"/>
      <c r="Y94" s="396"/>
      <c r="Z94" s="481"/>
      <c r="AA94" s="480">
        <f>IF(Z94="",0,ROUND(VLOOKUP(Z94,Compsch!$A$10:$B$509,2),2))</f>
        <v>0</v>
      </c>
      <c r="AB94" s="480">
        <f t="shared" si="20"/>
        <v>0</v>
      </c>
      <c r="AC94" s="480">
        <f t="shared" si="29"/>
        <v>0</v>
      </c>
      <c r="AD94" s="1112" t="str">
        <f t="shared" si="33"/>
        <v/>
      </c>
      <c r="AE94" s="459">
        <f>IF(AD94="",0,ROUND((VLOOKUP(Z94,Compsch!$A$11:$I$390,9)-(VLOOKUP(Z94,Compsch!$A$11:$I$390,7)))*(VLOOKUP(AD94,MeritSch!$A$5:$B$370,2)),0))</f>
        <v>0</v>
      </c>
      <c r="AF94" s="480">
        <f t="shared" si="21"/>
        <v>0</v>
      </c>
      <c r="AG94" s="605">
        <f t="shared" si="30"/>
        <v>0</v>
      </c>
      <c r="AH94" s="373">
        <f>IF(H94="Y",((((AA94+AB94+AG94)*W94)*Rates!$I$379))/24,(((AA94+AB94+AG94)*W94)/24))</f>
        <v>0</v>
      </c>
      <c r="AI94" s="464">
        <f t="shared" si="31"/>
        <v>0</v>
      </c>
      <c r="AJ94" s="465"/>
      <c r="AK94" s="479">
        <f>IF(H94="Y",(AI94*Rates!$I$379+AJ94),(AI94+AJ94))</f>
        <v>0</v>
      </c>
      <c r="AL94" s="426">
        <f t="shared" si="32"/>
        <v>0</v>
      </c>
      <c r="AM94" s="463">
        <f t="shared" si="22"/>
        <v>0</v>
      </c>
      <c r="AN94" s="37">
        <v>85</v>
      </c>
      <c r="AO94" s="1096"/>
      <c r="AP94" s="1097"/>
      <c r="AQ94" s="387"/>
      <c r="AR94" s="1070"/>
      <c r="AS94" s="387"/>
      <c r="AT94" s="1097"/>
      <c r="AU94" s="428"/>
      <c r="AV94" s="622"/>
      <c r="AW94" s="623"/>
    </row>
    <row r="95" spans="1:49" ht="27" hidden="1" customHeight="1" x14ac:dyDescent="0.2">
      <c r="A95" s="37">
        <v>86</v>
      </c>
      <c r="B95" s="509"/>
      <c r="C95" s="510"/>
      <c r="D95" s="511"/>
      <c r="E95" s="512"/>
      <c r="F95" s="1115"/>
      <c r="G95" s="1110" t="str">
        <f t="shared" si="23"/>
        <v>No</v>
      </c>
      <c r="H95" s="513"/>
      <c r="I95" s="482"/>
      <c r="J95" s="70"/>
      <c r="K95" s="1120">
        <f t="shared" si="24"/>
        <v>0</v>
      </c>
      <c r="L95" s="1125"/>
      <c r="M95" s="396"/>
      <c r="N95" s="593"/>
      <c r="O95" s="354">
        <f t="shared" si="25"/>
        <v>0</v>
      </c>
      <c r="P95" s="355">
        <f>IF(H95="y",(((N95+O95)*Rates!$J$331))/24,((N95+O95)/24))</f>
        <v>0</v>
      </c>
      <c r="Q95" s="355">
        <f t="shared" si="19"/>
        <v>0</v>
      </c>
      <c r="R95" s="101">
        <f>IF(H95="Y",Rates!$I$362*Q95,Q95)</f>
        <v>0</v>
      </c>
      <c r="S95" s="101">
        <f t="shared" si="26"/>
        <v>0</v>
      </c>
      <c r="T95" s="66">
        <f t="shared" si="27"/>
        <v>0</v>
      </c>
      <c r="U95" s="63"/>
      <c r="V95" s="462"/>
      <c r="W95" s="1120">
        <f t="shared" si="28"/>
        <v>0</v>
      </c>
      <c r="X95" s="1125"/>
      <c r="Y95" s="396"/>
      <c r="Z95" s="481"/>
      <c r="AA95" s="480">
        <f>IF(Z95="",0,ROUND(VLOOKUP(Z95,Compsch!$A$10:$B$509,2),2))</f>
        <v>0</v>
      </c>
      <c r="AB95" s="480">
        <f t="shared" si="20"/>
        <v>0</v>
      </c>
      <c r="AC95" s="480">
        <f t="shared" si="29"/>
        <v>0</v>
      </c>
      <c r="AD95" s="1112" t="str">
        <f t="shared" si="33"/>
        <v/>
      </c>
      <c r="AE95" s="459">
        <f>IF(AD95="",0,ROUND((VLOOKUP(Z95,Compsch!$A$11:$I$390,9)-(VLOOKUP(Z95,Compsch!$A$11:$I$390,7)))*(VLOOKUP(AD95,MeritSch!$A$5:$B$370,2)),0))</f>
        <v>0</v>
      </c>
      <c r="AF95" s="480">
        <f t="shared" si="21"/>
        <v>0</v>
      </c>
      <c r="AG95" s="605">
        <f t="shared" si="30"/>
        <v>0</v>
      </c>
      <c r="AH95" s="373">
        <f>IF(H95="Y",((((AA95+AB95+AG95)*W95)*Rates!$I$379))/24,(((AA95+AB95+AG95)*W95)/24))</f>
        <v>0</v>
      </c>
      <c r="AI95" s="464">
        <f t="shared" si="31"/>
        <v>0</v>
      </c>
      <c r="AJ95" s="465"/>
      <c r="AK95" s="479">
        <f>IF(H95="Y",(AI95*Rates!$I$379+AJ95),(AI95+AJ95))</f>
        <v>0</v>
      </c>
      <c r="AL95" s="426">
        <f t="shared" si="32"/>
        <v>0</v>
      </c>
      <c r="AM95" s="463">
        <f t="shared" si="22"/>
        <v>0</v>
      </c>
      <c r="AN95" s="37">
        <v>86</v>
      </c>
      <c r="AO95" s="1096"/>
      <c r="AP95" s="1097"/>
      <c r="AQ95" s="387"/>
      <c r="AR95" s="1070"/>
      <c r="AS95" s="387"/>
      <c r="AT95" s="1097"/>
      <c r="AU95" s="428"/>
      <c r="AV95" s="622"/>
      <c r="AW95" s="623"/>
    </row>
    <row r="96" spans="1:49" ht="27" hidden="1" customHeight="1" x14ac:dyDescent="0.2">
      <c r="A96" s="37">
        <v>87</v>
      </c>
      <c r="B96" s="509"/>
      <c r="C96" s="510"/>
      <c r="D96" s="511"/>
      <c r="E96" s="512"/>
      <c r="F96" s="1115"/>
      <c r="G96" s="1110" t="str">
        <f t="shared" si="23"/>
        <v>No</v>
      </c>
      <c r="H96" s="513"/>
      <c r="I96" s="482"/>
      <c r="J96" s="70"/>
      <c r="K96" s="1120">
        <f t="shared" si="24"/>
        <v>0</v>
      </c>
      <c r="L96" s="1125"/>
      <c r="M96" s="396"/>
      <c r="N96" s="593"/>
      <c r="O96" s="354">
        <f t="shared" si="25"/>
        <v>0</v>
      </c>
      <c r="P96" s="355">
        <f>IF(H96="y",(((N96+O96)*Rates!$J$331))/24,((N96+O96)/24))</f>
        <v>0</v>
      </c>
      <c r="Q96" s="355">
        <f t="shared" si="19"/>
        <v>0</v>
      </c>
      <c r="R96" s="101">
        <f>IF(H96="Y",Rates!$I$362*Q96,Q96)</f>
        <v>0</v>
      </c>
      <c r="S96" s="101">
        <f t="shared" si="26"/>
        <v>0</v>
      </c>
      <c r="T96" s="66">
        <f t="shared" si="27"/>
        <v>0</v>
      </c>
      <c r="U96" s="63"/>
      <c r="V96" s="462"/>
      <c r="W96" s="1120">
        <f t="shared" si="28"/>
        <v>0</v>
      </c>
      <c r="X96" s="1125"/>
      <c r="Y96" s="396"/>
      <c r="Z96" s="481"/>
      <c r="AA96" s="480">
        <f>IF(Z96="",0,ROUND(VLOOKUP(Z96,Compsch!$A$10:$B$509,2),2))</f>
        <v>0</v>
      </c>
      <c r="AB96" s="480">
        <f t="shared" si="20"/>
        <v>0</v>
      </c>
      <c r="AC96" s="480">
        <f t="shared" si="29"/>
        <v>0</v>
      </c>
      <c r="AD96" s="1112" t="str">
        <f t="shared" si="33"/>
        <v/>
      </c>
      <c r="AE96" s="459">
        <f>IF(AD96="",0,ROUND((VLOOKUP(Z96,Compsch!$A$11:$I$390,9)-(VLOOKUP(Z96,Compsch!$A$11:$I$390,7)))*(VLOOKUP(AD96,MeritSch!$A$5:$B$370,2)),0))</f>
        <v>0</v>
      </c>
      <c r="AF96" s="480">
        <f t="shared" si="21"/>
        <v>0</v>
      </c>
      <c r="AG96" s="605">
        <f t="shared" si="30"/>
        <v>0</v>
      </c>
      <c r="AH96" s="373">
        <f>IF(H96="Y",((((AA96+AB96+AG96)*W96)*Rates!$I$379))/24,(((AA96+AB96+AG96)*W96)/24))</f>
        <v>0</v>
      </c>
      <c r="AI96" s="464">
        <f t="shared" si="31"/>
        <v>0</v>
      </c>
      <c r="AJ96" s="465"/>
      <c r="AK96" s="479">
        <f>IF(H96="Y",(AI96*Rates!$I$379+AJ96),(AI96+AJ96))</f>
        <v>0</v>
      </c>
      <c r="AL96" s="426">
        <f t="shared" si="32"/>
        <v>0</v>
      </c>
      <c r="AM96" s="463">
        <f t="shared" si="22"/>
        <v>0</v>
      </c>
      <c r="AN96" s="37">
        <v>87</v>
      </c>
      <c r="AO96" s="1096"/>
      <c r="AP96" s="1097"/>
      <c r="AQ96" s="387"/>
      <c r="AR96" s="1070"/>
      <c r="AS96" s="387"/>
      <c r="AT96" s="1097"/>
      <c r="AU96" s="428"/>
      <c r="AV96" s="622"/>
      <c r="AW96" s="623"/>
    </row>
    <row r="97" spans="1:49" ht="27" hidden="1" customHeight="1" x14ac:dyDescent="0.2">
      <c r="A97" s="37">
        <v>88</v>
      </c>
      <c r="B97" s="509"/>
      <c r="C97" s="510"/>
      <c r="D97" s="511"/>
      <c r="E97" s="512"/>
      <c r="F97" s="1115"/>
      <c r="G97" s="1110" t="str">
        <f t="shared" si="23"/>
        <v>No</v>
      </c>
      <c r="H97" s="513"/>
      <c r="I97" s="482"/>
      <c r="J97" s="70"/>
      <c r="K97" s="1120">
        <f t="shared" si="24"/>
        <v>0</v>
      </c>
      <c r="L97" s="1125"/>
      <c r="M97" s="396"/>
      <c r="N97" s="593"/>
      <c r="O97" s="354">
        <f t="shared" si="25"/>
        <v>0</v>
      </c>
      <c r="P97" s="355">
        <f>IF(H97="y",(((N97+O97)*Rates!$J$331))/24,((N97+O97)/24))</f>
        <v>0</v>
      </c>
      <c r="Q97" s="355">
        <f t="shared" si="19"/>
        <v>0</v>
      </c>
      <c r="R97" s="101">
        <f>IF(H97="Y",Rates!$I$362*Q97,Q97)</f>
        <v>0</v>
      </c>
      <c r="S97" s="101">
        <f t="shared" si="26"/>
        <v>0</v>
      </c>
      <c r="T97" s="66">
        <f t="shared" si="27"/>
        <v>0</v>
      </c>
      <c r="U97" s="63"/>
      <c r="V97" s="462"/>
      <c r="W97" s="1120">
        <f t="shared" si="28"/>
        <v>0</v>
      </c>
      <c r="X97" s="1125"/>
      <c r="Y97" s="396"/>
      <c r="Z97" s="481"/>
      <c r="AA97" s="480">
        <f>IF(Z97="",0,ROUND(VLOOKUP(Z97,Compsch!$A$10:$B$509,2),2))</f>
        <v>0</v>
      </c>
      <c r="AB97" s="480">
        <f t="shared" si="20"/>
        <v>0</v>
      </c>
      <c r="AC97" s="480">
        <f t="shared" si="29"/>
        <v>0</v>
      </c>
      <c r="AD97" s="1112" t="str">
        <f t="shared" si="33"/>
        <v/>
      </c>
      <c r="AE97" s="459">
        <f>IF(AD97="",0,ROUND((VLOOKUP(Z97,Compsch!$A$11:$I$390,9)-(VLOOKUP(Z97,Compsch!$A$11:$I$390,7)))*(VLOOKUP(AD97,MeritSch!$A$5:$B$370,2)),0))</f>
        <v>0</v>
      </c>
      <c r="AF97" s="480">
        <f t="shared" si="21"/>
        <v>0</v>
      </c>
      <c r="AG97" s="605">
        <f t="shared" si="30"/>
        <v>0</v>
      </c>
      <c r="AH97" s="373">
        <f>IF(H97="Y",((((AA97+AB97+AG97)*W97)*Rates!$I$379))/24,(((AA97+AB97+AG97)*W97)/24))</f>
        <v>0</v>
      </c>
      <c r="AI97" s="464">
        <f t="shared" si="31"/>
        <v>0</v>
      </c>
      <c r="AJ97" s="465"/>
      <c r="AK97" s="479">
        <f>IF(H97="Y",(AI97*Rates!$I$379+AJ97),(AI97+AJ97))</f>
        <v>0</v>
      </c>
      <c r="AL97" s="426">
        <f t="shared" si="32"/>
        <v>0</v>
      </c>
      <c r="AM97" s="463">
        <f t="shared" si="22"/>
        <v>0</v>
      </c>
      <c r="AN97" s="37">
        <v>88</v>
      </c>
      <c r="AO97" s="1096"/>
      <c r="AP97" s="1097"/>
      <c r="AQ97" s="387"/>
      <c r="AR97" s="1070"/>
      <c r="AS97" s="387"/>
      <c r="AT97" s="1097"/>
      <c r="AU97" s="428"/>
      <c r="AV97" s="622"/>
      <c r="AW97" s="623"/>
    </row>
    <row r="98" spans="1:49" ht="27" hidden="1" customHeight="1" x14ac:dyDescent="0.2">
      <c r="A98" s="37">
        <v>89</v>
      </c>
      <c r="B98" s="509"/>
      <c r="C98" s="510"/>
      <c r="D98" s="511"/>
      <c r="E98" s="512"/>
      <c r="F98" s="1115"/>
      <c r="G98" s="1110" t="str">
        <f t="shared" si="23"/>
        <v>No</v>
      </c>
      <c r="H98" s="513"/>
      <c r="I98" s="482"/>
      <c r="J98" s="70"/>
      <c r="K98" s="1120">
        <f t="shared" si="24"/>
        <v>0</v>
      </c>
      <c r="L98" s="1125"/>
      <c r="M98" s="396"/>
      <c r="N98" s="593"/>
      <c r="O98" s="354">
        <f t="shared" si="25"/>
        <v>0</v>
      </c>
      <c r="P98" s="355">
        <f>IF(H98="y",(((N98+O98)*Rates!$J$331))/24,((N98+O98)/24))</f>
        <v>0</v>
      </c>
      <c r="Q98" s="355">
        <f t="shared" si="19"/>
        <v>0</v>
      </c>
      <c r="R98" s="101">
        <f>IF(H98="Y",Rates!$I$362*Q98,Q98)</f>
        <v>0</v>
      </c>
      <c r="S98" s="101">
        <f t="shared" si="26"/>
        <v>0</v>
      </c>
      <c r="T98" s="66">
        <f t="shared" si="27"/>
        <v>0</v>
      </c>
      <c r="U98" s="63"/>
      <c r="V98" s="462"/>
      <c r="W98" s="1120">
        <f t="shared" si="28"/>
        <v>0</v>
      </c>
      <c r="X98" s="1125"/>
      <c r="Y98" s="396"/>
      <c r="Z98" s="481"/>
      <c r="AA98" s="480">
        <f>IF(Z98="",0,ROUND(VLOOKUP(Z98,Compsch!$A$10:$B$509,2),2))</f>
        <v>0</v>
      </c>
      <c r="AB98" s="480">
        <f t="shared" si="20"/>
        <v>0</v>
      </c>
      <c r="AC98" s="480">
        <f t="shared" si="29"/>
        <v>0</v>
      </c>
      <c r="AD98" s="1112" t="str">
        <f t="shared" si="33"/>
        <v/>
      </c>
      <c r="AE98" s="459">
        <f>IF(AD98="",0,ROUND((VLOOKUP(Z98,Compsch!$A$11:$I$390,9)-(VLOOKUP(Z98,Compsch!$A$11:$I$390,7)))*(VLOOKUP(AD98,MeritSch!$A$5:$B$370,2)),0))</f>
        <v>0</v>
      </c>
      <c r="AF98" s="480">
        <f t="shared" si="21"/>
        <v>0</v>
      </c>
      <c r="AG98" s="605">
        <f t="shared" si="30"/>
        <v>0</v>
      </c>
      <c r="AH98" s="373">
        <f>IF(H98="Y",((((AA98+AB98+AG98)*W98)*Rates!$I$379))/24,(((AA98+AB98+AG98)*W98)/24))</f>
        <v>0</v>
      </c>
      <c r="AI98" s="464">
        <f t="shared" si="31"/>
        <v>0</v>
      </c>
      <c r="AJ98" s="465"/>
      <c r="AK98" s="479">
        <f>IF(H98="Y",(AI98*Rates!$I$379+AJ98),(AI98+AJ98))</f>
        <v>0</v>
      </c>
      <c r="AL98" s="426">
        <f t="shared" si="32"/>
        <v>0</v>
      </c>
      <c r="AM98" s="463">
        <f t="shared" si="22"/>
        <v>0</v>
      </c>
      <c r="AN98" s="37">
        <v>89</v>
      </c>
      <c r="AO98" s="1096"/>
      <c r="AP98" s="1097"/>
      <c r="AQ98" s="387"/>
      <c r="AR98" s="1070"/>
      <c r="AS98" s="387"/>
      <c r="AT98" s="1097"/>
      <c r="AU98" s="428"/>
      <c r="AV98" s="622"/>
      <c r="AW98" s="623"/>
    </row>
    <row r="99" spans="1:49" ht="27" hidden="1" customHeight="1" x14ac:dyDescent="0.2">
      <c r="A99" s="37">
        <v>90</v>
      </c>
      <c r="B99" s="509"/>
      <c r="C99" s="510"/>
      <c r="D99" s="511"/>
      <c r="E99" s="512"/>
      <c r="F99" s="1115"/>
      <c r="G99" s="1110" t="str">
        <f t="shared" si="23"/>
        <v>No</v>
      </c>
      <c r="H99" s="513"/>
      <c r="I99" s="482"/>
      <c r="J99" s="70"/>
      <c r="K99" s="1120">
        <f t="shared" si="24"/>
        <v>0</v>
      </c>
      <c r="L99" s="1125"/>
      <c r="M99" s="396"/>
      <c r="N99" s="593"/>
      <c r="O99" s="354">
        <f t="shared" si="25"/>
        <v>0</v>
      </c>
      <c r="P99" s="355">
        <f>IF(H99="y",(((N99+O99)*Rates!$J$331))/24,((N99+O99)/24))</f>
        <v>0</v>
      </c>
      <c r="Q99" s="355">
        <f t="shared" si="19"/>
        <v>0</v>
      </c>
      <c r="R99" s="101">
        <f>IF(H99="Y",Rates!$I$362*Q99,Q99)</f>
        <v>0</v>
      </c>
      <c r="S99" s="101">
        <f t="shared" si="26"/>
        <v>0</v>
      </c>
      <c r="T99" s="66">
        <f t="shared" si="27"/>
        <v>0</v>
      </c>
      <c r="U99" s="63"/>
      <c r="V99" s="462"/>
      <c r="W99" s="1120">
        <f t="shared" si="28"/>
        <v>0</v>
      </c>
      <c r="X99" s="1125"/>
      <c r="Y99" s="396"/>
      <c r="Z99" s="481"/>
      <c r="AA99" s="480">
        <f>IF(Z99="",0,ROUND(VLOOKUP(Z99,Compsch!$A$10:$B$509,2),2))</f>
        <v>0</v>
      </c>
      <c r="AB99" s="480">
        <f t="shared" si="20"/>
        <v>0</v>
      </c>
      <c r="AC99" s="480">
        <f t="shared" si="29"/>
        <v>0</v>
      </c>
      <c r="AD99" s="1112" t="str">
        <f t="shared" si="33"/>
        <v/>
      </c>
      <c r="AE99" s="459">
        <f>IF(AD99="",0,ROUND((VLOOKUP(Z99,Compsch!$A$11:$I$390,9)-(VLOOKUP(Z99,Compsch!$A$11:$I$390,7)))*(VLOOKUP(AD99,MeritSch!$A$5:$B$370,2)),0))</f>
        <v>0</v>
      </c>
      <c r="AF99" s="480">
        <f t="shared" si="21"/>
        <v>0</v>
      </c>
      <c r="AG99" s="605">
        <f t="shared" si="30"/>
        <v>0</v>
      </c>
      <c r="AH99" s="373">
        <f>IF(H99="Y",((((AA99+AB99+AG99)*W99)*Rates!$I$379))/24,(((AA99+AB99+AG99)*W99)/24))</f>
        <v>0</v>
      </c>
      <c r="AI99" s="464">
        <f t="shared" si="31"/>
        <v>0</v>
      </c>
      <c r="AJ99" s="465"/>
      <c r="AK99" s="479">
        <f>IF(H99="Y",(AI99*Rates!$I$379+AJ99),(AI99+AJ99))</f>
        <v>0</v>
      </c>
      <c r="AL99" s="426">
        <f t="shared" si="32"/>
        <v>0</v>
      </c>
      <c r="AM99" s="463">
        <f t="shared" si="22"/>
        <v>0</v>
      </c>
      <c r="AN99" s="37">
        <v>90</v>
      </c>
      <c r="AO99" s="1096"/>
      <c r="AP99" s="1097"/>
      <c r="AQ99" s="387"/>
      <c r="AR99" s="1070"/>
      <c r="AS99" s="387"/>
      <c r="AT99" s="1097"/>
      <c r="AU99" s="428"/>
      <c r="AV99" s="622"/>
      <c r="AW99" s="623"/>
    </row>
    <row r="100" spans="1:49" ht="27" hidden="1" customHeight="1" x14ac:dyDescent="0.2">
      <c r="A100" s="37">
        <v>91</v>
      </c>
      <c r="B100" s="509"/>
      <c r="C100" s="510"/>
      <c r="D100" s="511"/>
      <c r="E100" s="512"/>
      <c r="F100" s="1115"/>
      <c r="G100" s="1110" t="str">
        <f t="shared" si="23"/>
        <v>No</v>
      </c>
      <c r="H100" s="513"/>
      <c r="I100" s="482"/>
      <c r="J100" s="70"/>
      <c r="K100" s="1120">
        <f t="shared" si="24"/>
        <v>0</v>
      </c>
      <c r="L100" s="1125"/>
      <c r="M100" s="396"/>
      <c r="N100" s="593"/>
      <c r="O100" s="354">
        <f t="shared" si="25"/>
        <v>0</v>
      </c>
      <c r="P100" s="355">
        <f>IF(H100="y",(((N100+O100)*Rates!$J$331))/24,((N100+O100)/24))</f>
        <v>0</v>
      </c>
      <c r="Q100" s="355">
        <f t="shared" si="19"/>
        <v>0</v>
      </c>
      <c r="R100" s="101">
        <f>IF(H100="Y",Rates!$I$362*Q100,Q100)</f>
        <v>0</v>
      </c>
      <c r="S100" s="101">
        <f t="shared" si="26"/>
        <v>0</v>
      </c>
      <c r="T100" s="66">
        <f t="shared" si="27"/>
        <v>0</v>
      </c>
      <c r="U100" s="63"/>
      <c r="V100" s="462"/>
      <c r="W100" s="1120">
        <f t="shared" si="28"/>
        <v>0</v>
      </c>
      <c r="X100" s="1125"/>
      <c r="Y100" s="396"/>
      <c r="Z100" s="481"/>
      <c r="AA100" s="480">
        <f>IF(Z100="",0,ROUND(VLOOKUP(Z100,Compsch!$A$10:$B$509,2),2))</f>
        <v>0</v>
      </c>
      <c r="AB100" s="480">
        <f t="shared" si="20"/>
        <v>0</v>
      </c>
      <c r="AC100" s="480">
        <f t="shared" si="29"/>
        <v>0</v>
      </c>
      <c r="AD100" s="1112" t="str">
        <f t="shared" si="33"/>
        <v/>
      </c>
      <c r="AE100" s="459">
        <f>IF(AD100="",0,ROUND((VLOOKUP(Z100,Compsch!$A$11:$I$390,9)-(VLOOKUP(Z100,Compsch!$A$11:$I$390,7)))*(VLOOKUP(AD100,MeritSch!$A$5:$B$370,2)),0))</f>
        <v>0</v>
      </c>
      <c r="AF100" s="480">
        <f t="shared" si="21"/>
        <v>0</v>
      </c>
      <c r="AG100" s="605">
        <f t="shared" si="30"/>
        <v>0</v>
      </c>
      <c r="AH100" s="373">
        <f>IF(H100="Y",((((AA100+AB100+AG100)*W100)*Rates!$I$379))/24,(((AA100+AB100+AG100)*W100)/24))</f>
        <v>0</v>
      </c>
      <c r="AI100" s="464">
        <f t="shared" si="31"/>
        <v>0</v>
      </c>
      <c r="AJ100" s="465"/>
      <c r="AK100" s="479">
        <f>IF(H100="Y",(AI100*Rates!$I$379+AJ100),(AI100+AJ100))</f>
        <v>0</v>
      </c>
      <c r="AL100" s="426">
        <f t="shared" si="32"/>
        <v>0</v>
      </c>
      <c r="AM100" s="463">
        <f t="shared" si="22"/>
        <v>0</v>
      </c>
      <c r="AN100" s="37">
        <v>91</v>
      </c>
      <c r="AO100" s="1096"/>
      <c r="AP100" s="1097"/>
      <c r="AQ100" s="387"/>
      <c r="AR100" s="1070"/>
      <c r="AS100" s="387"/>
      <c r="AT100" s="1097"/>
      <c r="AU100" s="428"/>
      <c r="AV100" s="622"/>
      <c r="AW100" s="623"/>
    </row>
    <row r="101" spans="1:49" ht="27" hidden="1" customHeight="1" x14ac:dyDescent="0.2">
      <c r="A101" s="37">
        <v>92</v>
      </c>
      <c r="B101" s="509"/>
      <c r="C101" s="510"/>
      <c r="D101" s="511"/>
      <c r="E101" s="512"/>
      <c r="F101" s="1115"/>
      <c r="G101" s="1110" t="str">
        <f t="shared" si="23"/>
        <v>No</v>
      </c>
      <c r="H101" s="513"/>
      <c r="I101" s="482"/>
      <c r="J101" s="70"/>
      <c r="K101" s="1120">
        <f t="shared" si="24"/>
        <v>0</v>
      </c>
      <c r="L101" s="1125"/>
      <c r="M101" s="396"/>
      <c r="N101" s="593"/>
      <c r="O101" s="354">
        <f t="shared" si="25"/>
        <v>0</v>
      </c>
      <c r="P101" s="355">
        <f>IF(H101="y",(((N101+O101)*Rates!$J$331))/24,((N101+O101)/24))</f>
        <v>0</v>
      </c>
      <c r="Q101" s="355">
        <f t="shared" si="19"/>
        <v>0</v>
      </c>
      <c r="R101" s="101">
        <f>IF(H101="Y",Rates!$I$362*Q101,Q101)</f>
        <v>0</v>
      </c>
      <c r="S101" s="101">
        <f t="shared" si="26"/>
        <v>0</v>
      </c>
      <c r="T101" s="66">
        <f t="shared" si="27"/>
        <v>0</v>
      </c>
      <c r="U101" s="63"/>
      <c r="V101" s="462"/>
      <c r="W101" s="1120">
        <f t="shared" si="28"/>
        <v>0</v>
      </c>
      <c r="X101" s="1125"/>
      <c r="Y101" s="396"/>
      <c r="Z101" s="481"/>
      <c r="AA101" s="480">
        <f>IF(Z101="",0,ROUND(VLOOKUP(Z101,Compsch!$A$10:$B$509,2),2))</f>
        <v>0</v>
      </c>
      <c r="AB101" s="480">
        <f t="shared" si="20"/>
        <v>0</v>
      </c>
      <c r="AC101" s="480">
        <f t="shared" si="29"/>
        <v>0</v>
      </c>
      <c r="AD101" s="1112" t="str">
        <f t="shared" si="33"/>
        <v/>
      </c>
      <c r="AE101" s="459">
        <f>IF(AD101="",0,ROUND((VLOOKUP(Z101,Compsch!$A$11:$I$390,9)-(VLOOKUP(Z101,Compsch!$A$11:$I$390,7)))*(VLOOKUP(AD101,MeritSch!$A$5:$B$370,2)),0))</f>
        <v>0</v>
      </c>
      <c r="AF101" s="480">
        <f t="shared" si="21"/>
        <v>0</v>
      </c>
      <c r="AG101" s="605">
        <f t="shared" si="30"/>
        <v>0</v>
      </c>
      <c r="AH101" s="373">
        <f>IF(H101="Y",((((AA101+AB101+AG101)*W101)*Rates!$I$379))/24,(((AA101+AB101+AG101)*W101)/24))</f>
        <v>0</v>
      </c>
      <c r="AI101" s="464">
        <f t="shared" si="31"/>
        <v>0</v>
      </c>
      <c r="AJ101" s="465"/>
      <c r="AK101" s="479">
        <f>IF(H101="Y",(AI101*Rates!$I$379+AJ101),(AI101+AJ101))</f>
        <v>0</v>
      </c>
      <c r="AL101" s="426">
        <f t="shared" si="32"/>
        <v>0</v>
      </c>
      <c r="AM101" s="463">
        <f t="shared" si="22"/>
        <v>0</v>
      </c>
      <c r="AN101" s="37">
        <v>92</v>
      </c>
      <c r="AO101" s="1096"/>
      <c r="AP101" s="1097"/>
      <c r="AQ101" s="387"/>
      <c r="AR101" s="1070"/>
      <c r="AS101" s="387"/>
      <c r="AT101" s="1097"/>
      <c r="AU101" s="428"/>
      <c r="AV101" s="622"/>
      <c r="AW101" s="623"/>
    </row>
    <row r="102" spans="1:49" ht="27" hidden="1" customHeight="1" x14ac:dyDescent="0.2">
      <c r="A102" s="37">
        <v>93</v>
      </c>
      <c r="B102" s="509"/>
      <c r="C102" s="510"/>
      <c r="D102" s="511"/>
      <c r="E102" s="512"/>
      <c r="F102" s="1115"/>
      <c r="G102" s="1110" t="str">
        <f t="shared" si="23"/>
        <v>No</v>
      </c>
      <c r="H102" s="513"/>
      <c r="I102" s="482"/>
      <c r="J102" s="70"/>
      <c r="K102" s="1120">
        <f t="shared" si="24"/>
        <v>0</v>
      </c>
      <c r="L102" s="1125"/>
      <c r="M102" s="396"/>
      <c r="N102" s="593"/>
      <c r="O102" s="354">
        <f t="shared" si="25"/>
        <v>0</v>
      </c>
      <c r="P102" s="355">
        <f>IF(H102="y",(((N102+O102)*Rates!$J$331))/24,((N102+O102)/24))</f>
        <v>0</v>
      </c>
      <c r="Q102" s="355">
        <f t="shared" si="19"/>
        <v>0</v>
      </c>
      <c r="R102" s="101">
        <f>IF(H102="Y",Rates!$I$362*Q102,Q102)</f>
        <v>0</v>
      </c>
      <c r="S102" s="101">
        <f t="shared" si="26"/>
        <v>0</v>
      </c>
      <c r="T102" s="66">
        <f t="shared" si="27"/>
        <v>0</v>
      </c>
      <c r="U102" s="63"/>
      <c r="V102" s="462"/>
      <c r="W102" s="1120">
        <f t="shared" si="28"/>
        <v>0</v>
      </c>
      <c r="X102" s="1125"/>
      <c r="Y102" s="396"/>
      <c r="Z102" s="481"/>
      <c r="AA102" s="480">
        <f>IF(Z102="",0,ROUND(VLOOKUP(Z102,Compsch!$A$10:$B$509,2),2))</f>
        <v>0</v>
      </c>
      <c r="AB102" s="480">
        <f t="shared" si="20"/>
        <v>0</v>
      </c>
      <c r="AC102" s="480">
        <f t="shared" si="29"/>
        <v>0</v>
      </c>
      <c r="AD102" s="1112" t="str">
        <f t="shared" si="33"/>
        <v/>
      </c>
      <c r="AE102" s="459">
        <f>IF(AD102="",0,ROUND((VLOOKUP(Z102,Compsch!$A$11:$I$390,9)-(VLOOKUP(Z102,Compsch!$A$11:$I$390,7)))*(VLOOKUP(AD102,MeritSch!$A$5:$B$370,2)),0))</f>
        <v>0</v>
      </c>
      <c r="AF102" s="480">
        <f t="shared" si="21"/>
        <v>0</v>
      </c>
      <c r="AG102" s="605">
        <f t="shared" si="30"/>
        <v>0</v>
      </c>
      <c r="AH102" s="373">
        <f>IF(H102="Y",((((AA102+AB102+AG102)*W102)*Rates!$I$379))/24,(((AA102+AB102+AG102)*W102)/24))</f>
        <v>0</v>
      </c>
      <c r="AI102" s="464">
        <f t="shared" si="31"/>
        <v>0</v>
      </c>
      <c r="AJ102" s="465"/>
      <c r="AK102" s="479">
        <f>IF(H102="Y",(AI102*Rates!$I$379+AJ102),(AI102+AJ102))</f>
        <v>0</v>
      </c>
      <c r="AL102" s="426">
        <f t="shared" si="32"/>
        <v>0</v>
      </c>
      <c r="AM102" s="463">
        <f t="shared" si="22"/>
        <v>0</v>
      </c>
      <c r="AN102" s="37">
        <v>93</v>
      </c>
      <c r="AO102" s="1096"/>
      <c r="AP102" s="1097"/>
      <c r="AQ102" s="387"/>
      <c r="AR102" s="1070"/>
      <c r="AS102" s="387"/>
      <c r="AT102" s="1097"/>
      <c r="AU102" s="428"/>
      <c r="AV102" s="622"/>
      <c r="AW102" s="623"/>
    </row>
    <row r="103" spans="1:49" ht="27" hidden="1" customHeight="1" x14ac:dyDescent="0.2">
      <c r="A103" s="37">
        <v>94</v>
      </c>
      <c r="B103" s="509"/>
      <c r="C103" s="510"/>
      <c r="D103" s="511"/>
      <c r="E103" s="512"/>
      <c r="F103" s="1115"/>
      <c r="G103" s="1110" t="str">
        <f t="shared" si="23"/>
        <v>No</v>
      </c>
      <c r="H103" s="513"/>
      <c r="I103" s="482"/>
      <c r="J103" s="70"/>
      <c r="K103" s="1120">
        <f t="shared" si="24"/>
        <v>0</v>
      </c>
      <c r="L103" s="1125"/>
      <c r="M103" s="396"/>
      <c r="N103" s="593"/>
      <c r="O103" s="354">
        <f t="shared" si="25"/>
        <v>0</v>
      </c>
      <c r="P103" s="355">
        <f>IF(H103="y",(((N103+O103)*Rates!$J$331))/24,((N103+O103)/24))</f>
        <v>0</v>
      </c>
      <c r="Q103" s="355">
        <f t="shared" si="19"/>
        <v>0</v>
      </c>
      <c r="R103" s="101">
        <f>IF(H103="Y",Rates!$I$362*Q103,Q103)</f>
        <v>0</v>
      </c>
      <c r="S103" s="101">
        <f t="shared" si="26"/>
        <v>0</v>
      </c>
      <c r="T103" s="66">
        <f t="shared" si="27"/>
        <v>0</v>
      </c>
      <c r="U103" s="63"/>
      <c r="V103" s="462"/>
      <c r="W103" s="1120">
        <f t="shared" si="28"/>
        <v>0</v>
      </c>
      <c r="X103" s="1125"/>
      <c r="Y103" s="396"/>
      <c r="Z103" s="481"/>
      <c r="AA103" s="480">
        <f>IF(Z103="",0,ROUND(VLOOKUP(Z103,Compsch!$A$10:$B$509,2),2))</f>
        <v>0</v>
      </c>
      <c r="AB103" s="480">
        <f t="shared" si="20"/>
        <v>0</v>
      </c>
      <c r="AC103" s="480">
        <f t="shared" si="29"/>
        <v>0</v>
      </c>
      <c r="AD103" s="1112" t="str">
        <f t="shared" si="33"/>
        <v/>
      </c>
      <c r="AE103" s="459">
        <f>IF(AD103="",0,ROUND((VLOOKUP(Z103,Compsch!$A$11:$I$390,9)-(VLOOKUP(Z103,Compsch!$A$11:$I$390,7)))*(VLOOKUP(AD103,MeritSch!$A$5:$B$370,2)),0))</f>
        <v>0</v>
      </c>
      <c r="AF103" s="480">
        <f t="shared" si="21"/>
        <v>0</v>
      </c>
      <c r="AG103" s="605">
        <f t="shared" si="30"/>
        <v>0</v>
      </c>
      <c r="AH103" s="373">
        <f>IF(H103="Y",((((AA103+AB103+AG103)*W103)*Rates!$I$379))/24,(((AA103+AB103+AG103)*W103)/24))</f>
        <v>0</v>
      </c>
      <c r="AI103" s="464">
        <f t="shared" si="31"/>
        <v>0</v>
      </c>
      <c r="AJ103" s="465"/>
      <c r="AK103" s="479">
        <f>IF(H103="Y",(AI103*Rates!$I$379+AJ103),(AI103+AJ103))</f>
        <v>0</v>
      </c>
      <c r="AL103" s="426">
        <f t="shared" si="32"/>
        <v>0</v>
      </c>
      <c r="AM103" s="463">
        <f t="shared" si="22"/>
        <v>0</v>
      </c>
      <c r="AN103" s="37">
        <v>94</v>
      </c>
      <c r="AO103" s="1096"/>
      <c r="AP103" s="1097"/>
      <c r="AQ103" s="387"/>
      <c r="AR103" s="1070"/>
      <c r="AS103" s="387"/>
      <c r="AT103" s="1097"/>
      <c r="AU103" s="428"/>
      <c r="AV103" s="622"/>
      <c r="AW103" s="623"/>
    </row>
    <row r="104" spans="1:49" ht="27" hidden="1" customHeight="1" x14ac:dyDescent="0.2">
      <c r="A104" s="37">
        <v>95</v>
      </c>
      <c r="B104" s="509"/>
      <c r="C104" s="510"/>
      <c r="D104" s="511"/>
      <c r="E104" s="512"/>
      <c r="F104" s="1115"/>
      <c r="G104" s="1110" t="str">
        <f t="shared" si="23"/>
        <v>No</v>
      </c>
      <c r="H104" s="513"/>
      <c r="I104" s="482"/>
      <c r="J104" s="70"/>
      <c r="K104" s="1120">
        <f t="shared" si="24"/>
        <v>0</v>
      </c>
      <c r="L104" s="1125"/>
      <c r="M104" s="396"/>
      <c r="N104" s="593"/>
      <c r="O104" s="354">
        <f t="shared" si="25"/>
        <v>0</v>
      </c>
      <c r="P104" s="355">
        <f>IF(H104="y",(((N104+O104)*Rates!$J$331))/24,((N104+O104)/24))</f>
        <v>0</v>
      </c>
      <c r="Q104" s="355">
        <f t="shared" si="19"/>
        <v>0</v>
      </c>
      <c r="R104" s="101">
        <f>IF(H104="Y",Rates!$I$362*Q104,Q104)</f>
        <v>0</v>
      </c>
      <c r="S104" s="101">
        <f t="shared" si="26"/>
        <v>0</v>
      </c>
      <c r="T104" s="66">
        <f t="shared" si="27"/>
        <v>0</v>
      </c>
      <c r="U104" s="63"/>
      <c r="V104" s="462"/>
      <c r="W104" s="1120">
        <f t="shared" si="28"/>
        <v>0</v>
      </c>
      <c r="X104" s="1125"/>
      <c r="Y104" s="396"/>
      <c r="Z104" s="481"/>
      <c r="AA104" s="480">
        <f>IF(Z104="",0,ROUND(VLOOKUP(Z104,Compsch!$A$10:$B$509,2),2))</f>
        <v>0</v>
      </c>
      <c r="AB104" s="480">
        <f t="shared" si="20"/>
        <v>0</v>
      </c>
      <c r="AC104" s="480">
        <f t="shared" si="29"/>
        <v>0</v>
      </c>
      <c r="AD104" s="1112" t="str">
        <f t="shared" si="33"/>
        <v/>
      </c>
      <c r="AE104" s="459">
        <f>IF(AD104="",0,ROUND((VLOOKUP(Z104,Compsch!$A$11:$I$390,9)-(VLOOKUP(Z104,Compsch!$A$11:$I$390,7)))*(VLOOKUP(AD104,MeritSch!$A$5:$B$370,2)),0))</f>
        <v>0</v>
      </c>
      <c r="AF104" s="480">
        <f t="shared" si="21"/>
        <v>0</v>
      </c>
      <c r="AG104" s="605">
        <f t="shared" si="30"/>
        <v>0</v>
      </c>
      <c r="AH104" s="373">
        <f>IF(H104="Y",((((AA104+AB104+AG104)*W104)*Rates!$I$379))/24,(((AA104+AB104+AG104)*W104)/24))</f>
        <v>0</v>
      </c>
      <c r="AI104" s="464">
        <f t="shared" si="31"/>
        <v>0</v>
      </c>
      <c r="AJ104" s="465"/>
      <c r="AK104" s="479">
        <f>IF(H104="Y",(AI104*Rates!$I$379+AJ104),(AI104+AJ104))</f>
        <v>0</v>
      </c>
      <c r="AL104" s="426">
        <f t="shared" si="32"/>
        <v>0</v>
      </c>
      <c r="AM104" s="463">
        <f t="shared" si="22"/>
        <v>0</v>
      </c>
      <c r="AN104" s="37">
        <v>95</v>
      </c>
      <c r="AO104" s="1096"/>
      <c r="AP104" s="1097"/>
      <c r="AQ104" s="387"/>
      <c r="AR104" s="1070"/>
      <c r="AS104" s="387"/>
      <c r="AT104" s="1097"/>
      <c r="AU104" s="428"/>
      <c r="AV104" s="622"/>
      <c r="AW104" s="623"/>
    </row>
    <row r="105" spans="1:49" ht="27" hidden="1" customHeight="1" x14ac:dyDescent="0.2">
      <c r="A105" s="37">
        <v>96</v>
      </c>
      <c r="B105" s="509"/>
      <c r="C105" s="510"/>
      <c r="D105" s="511"/>
      <c r="E105" s="512"/>
      <c r="F105" s="1115"/>
      <c r="G105" s="1110" t="str">
        <f t="shared" si="23"/>
        <v>No</v>
      </c>
      <c r="H105" s="513"/>
      <c r="I105" s="482"/>
      <c r="J105" s="70"/>
      <c r="K105" s="1120">
        <f t="shared" si="24"/>
        <v>0</v>
      </c>
      <c r="L105" s="1125"/>
      <c r="M105" s="396"/>
      <c r="N105" s="593"/>
      <c r="O105" s="354">
        <f t="shared" si="25"/>
        <v>0</v>
      </c>
      <c r="P105" s="355">
        <f>IF(H105="y",(((N105+O105)*Rates!$J$331))/24,((N105+O105)/24))</f>
        <v>0</v>
      </c>
      <c r="Q105" s="355">
        <f t="shared" si="19"/>
        <v>0</v>
      </c>
      <c r="R105" s="101">
        <f>IF(H105="Y",Rates!$I$362*Q105,Q105)</f>
        <v>0</v>
      </c>
      <c r="S105" s="101">
        <f t="shared" si="26"/>
        <v>0</v>
      </c>
      <c r="T105" s="66">
        <f t="shared" si="27"/>
        <v>0</v>
      </c>
      <c r="U105" s="63"/>
      <c r="V105" s="462"/>
      <c r="W105" s="1120">
        <f t="shared" si="28"/>
        <v>0</v>
      </c>
      <c r="X105" s="1125"/>
      <c r="Y105" s="396"/>
      <c r="Z105" s="481"/>
      <c r="AA105" s="480">
        <f>IF(Z105="",0,ROUND(VLOOKUP(Z105,Compsch!$A$10:$B$509,2),2))</f>
        <v>0</v>
      </c>
      <c r="AB105" s="480">
        <f t="shared" si="20"/>
        <v>0</v>
      </c>
      <c r="AC105" s="480">
        <f t="shared" si="29"/>
        <v>0</v>
      </c>
      <c r="AD105" s="1112" t="str">
        <f t="shared" si="33"/>
        <v/>
      </c>
      <c r="AE105" s="459">
        <f>IF(AD105="",0,ROUND((VLOOKUP(Z105,Compsch!$A$11:$I$390,9)-(VLOOKUP(Z105,Compsch!$A$11:$I$390,7)))*(VLOOKUP(AD105,MeritSch!$A$5:$B$370,2)),0))</f>
        <v>0</v>
      </c>
      <c r="AF105" s="480">
        <f t="shared" si="21"/>
        <v>0</v>
      </c>
      <c r="AG105" s="605">
        <f t="shared" si="30"/>
        <v>0</v>
      </c>
      <c r="AH105" s="373">
        <f>IF(H105="Y",((((AA105+AB105+AG105)*W105)*Rates!$I$379))/24,(((AA105+AB105+AG105)*W105)/24))</f>
        <v>0</v>
      </c>
      <c r="AI105" s="464">
        <f t="shared" si="31"/>
        <v>0</v>
      </c>
      <c r="AJ105" s="465"/>
      <c r="AK105" s="479">
        <f>IF(H105="Y",(AI105*Rates!$I$379+AJ105),(AI105+AJ105))</f>
        <v>0</v>
      </c>
      <c r="AL105" s="426">
        <f t="shared" si="32"/>
        <v>0</v>
      </c>
      <c r="AM105" s="463">
        <f t="shared" si="22"/>
        <v>0</v>
      </c>
      <c r="AN105" s="37">
        <v>96</v>
      </c>
      <c r="AO105" s="1096"/>
      <c r="AP105" s="1097"/>
      <c r="AQ105" s="387"/>
      <c r="AR105" s="1070"/>
      <c r="AS105" s="387"/>
      <c r="AT105" s="1097"/>
      <c r="AU105" s="428"/>
      <c r="AV105" s="622"/>
      <c r="AW105" s="623"/>
    </row>
    <row r="106" spans="1:49" ht="27" hidden="1" customHeight="1" x14ac:dyDescent="0.2">
      <c r="A106" s="37">
        <v>97</v>
      </c>
      <c r="B106" s="509"/>
      <c r="C106" s="510"/>
      <c r="D106" s="511"/>
      <c r="E106" s="512"/>
      <c r="F106" s="1115"/>
      <c r="G106" s="1110" t="str">
        <f t="shared" si="23"/>
        <v>No</v>
      </c>
      <c r="H106" s="513"/>
      <c r="I106" s="482"/>
      <c r="J106" s="70"/>
      <c r="K106" s="1120">
        <f t="shared" si="24"/>
        <v>0</v>
      </c>
      <c r="L106" s="1125"/>
      <c r="M106" s="396"/>
      <c r="N106" s="593"/>
      <c r="O106" s="354">
        <f t="shared" si="25"/>
        <v>0</v>
      </c>
      <c r="P106" s="355">
        <f>IF(H106="y",(((N106+O106)*Rates!$J$331))/24,((N106+O106)/24))</f>
        <v>0</v>
      </c>
      <c r="Q106" s="355">
        <f>P106*M106*K106</f>
        <v>0</v>
      </c>
      <c r="R106" s="101">
        <f>IF(H106="Y",Rates!$I$362*Q106,Q106)</f>
        <v>0</v>
      </c>
      <c r="S106" s="101">
        <f t="shared" si="26"/>
        <v>0</v>
      </c>
      <c r="T106" s="66">
        <f t="shared" si="27"/>
        <v>0</v>
      </c>
      <c r="U106" s="63"/>
      <c r="V106" s="462"/>
      <c r="W106" s="1120">
        <f t="shared" si="28"/>
        <v>0</v>
      </c>
      <c r="X106" s="1125"/>
      <c r="Y106" s="396"/>
      <c r="Z106" s="481"/>
      <c r="AA106" s="480">
        <f>IF(Z106="",0,ROUND(VLOOKUP(Z106,Compsch!$A$10:$B$509,2),2))</f>
        <v>0</v>
      </c>
      <c r="AB106" s="480">
        <f>AA106*IF(I106="Both",0.05*2,IF(I106="",0,0.05))</f>
        <v>0</v>
      </c>
      <c r="AC106" s="480">
        <f t="shared" si="29"/>
        <v>0</v>
      </c>
      <c r="AD106" s="1112" t="str">
        <f t="shared" si="33"/>
        <v/>
      </c>
      <c r="AE106" s="459">
        <f>IF(AD106="",0,ROUND((VLOOKUP(Z106,Compsch!$A$11:$I$390,9)-(VLOOKUP(Z106,Compsch!$A$11:$I$390,7)))*(VLOOKUP(AD106,MeritSch!$A$5:$B$370,2)),0))</f>
        <v>0</v>
      </c>
      <c r="AF106" s="480">
        <f>AE106*IF(I106="Both",0.1,IF(I106="",0,0.05))</f>
        <v>0</v>
      </c>
      <c r="AG106" s="605">
        <f t="shared" si="30"/>
        <v>0</v>
      </c>
      <c r="AH106" s="373">
        <f>IF(H106="Y",((((AA106+AB106+AG106)*W106)*Rates!$I$379))/24,(((AA106+AB106+AG106)*W106)/24))</f>
        <v>0</v>
      </c>
      <c r="AI106" s="464">
        <f t="shared" si="31"/>
        <v>0</v>
      </c>
      <c r="AJ106" s="465"/>
      <c r="AK106" s="479">
        <f>IF(H106="Y",(AI106*Rates!$I$379+AJ106),(AI106+AJ106))</f>
        <v>0</v>
      </c>
      <c r="AL106" s="426">
        <f t="shared" si="32"/>
        <v>0</v>
      </c>
      <c r="AM106" s="463">
        <f t="shared" si="22"/>
        <v>0</v>
      </c>
      <c r="AN106" s="37">
        <v>97</v>
      </c>
      <c r="AO106" s="1096"/>
      <c r="AP106" s="1097"/>
      <c r="AQ106" s="387"/>
      <c r="AR106" s="1070"/>
      <c r="AS106" s="387"/>
      <c r="AT106" s="1097"/>
      <c r="AU106" s="428"/>
      <c r="AV106" s="622"/>
      <c r="AW106" s="623"/>
    </row>
    <row r="107" spans="1:49" ht="27" hidden="1" customHeight="1" x14ac:dyDescent="0.2">
      <c r="A107" s="37">
        <v>98</v>
      </c>
      <c r="B107" s="509"/>
      <c r="C107" s="510"/>
      <c r="D107" s="511"/>
      <c r="E107" s="512"/>
      <c r="F107" s="1115"/>
      <c r="G107" s="1110" t="str">
        <f t="shared" si="23"/>
        <v>No</v>
      </c>
      <c r="H107" s="513"/>
      <c r="I107" s="482"/>
      <c r="J107" s="70"/>
      <c r="K107" s="1120">
        <f t="shared" si="24"/>
        <v>0</v>
      </c>
      <c r="L107" s="1125"/>
      <c r="M107" s="396"/>
      <c r="N107" s="593"/>
      <c r="O107" s="354">
        <f t="shared" si="25"/>
        <v>0</v>
      </c>
      <c r="P107" s="355">
        <f>IF(H107="y",(((N107+O107)*Rates!$J$331))/24,((N107+O107)/24))</f>
        <v>0</v>
      </c>
      <c r="Q107" s="355">
        <f>P107*M107*K107</f>
        <v>0</v>
      </c>
      <c r="R107" s="101">
        <f>IF(H107="Y",Rates!$I$362*Q107,Q107)</f>
        <v>0</v>
      </c>
      <c r="S107" s="101">
        <f t="shared" si="26"/>
        <v>0</v>
      </c>
      <c r="T107" s="66">
        <f t="shared" si="27"/>
        <v>0</v>
      </c>
      <c r="U107" s="63"/>
      <c r="V107" s="462"/>
      <c r="W107" s="1120">
        <f t="shared" si="28"/>
        <v>0</v>
      </c>
      <c r="X107" s="1125"/>
      <c r="Y107" s="396"/>
      <c r="Z107" s="481"/>
      <c r="AA107" s="480">
        <f>IF(Z107="",0,ROUND(VLOOKUP(Z107,Compsch!$A$10:$B$509,2),2))</f>
        <v>0</v>
      </c>
      <c r="AB107" s="480">
        <f>AA107*IF(I107="Both",0.05*2,IF(I107="",0,0.05))</f>
        <v>0</v>
      </c>
      <c r="AC107" s="480">
        <f t="shared" si="29"/>
        <v>0</v>
      </c>
      <c r="AD107" s="1112" t="str">
        <f t="shared" si="33"/>
        <v/>
      </c>
      <c r="AE107" s="459">
        <f>IF(AD107="",0,ROUND((VLOOKUP(Z107,Compsch!$A$11:$I$390,9)-(VLOOKUP(Z107,Compsch!$A$11:$I$390,7)))*(VLOOKUP(AD107,MeritSch!$A$5:$B$370,2)),0))</f>
        <v>0</v>
      </c>
      <c r="AF107" s="480">
        <f>AE107*IF(I107="Both",0.1,IF(I107="",0,0.05))</f>
        <v>0</v>
      </c>
      <c r="AG107" s="605">
        <f t="shared" si="30"/>
        <v>0</v>
      </c>
      <c r="AH107" s="373">
        <f>IF(H107="Y",((((AA107+AB107+AG107)*W107)*Rates!$I$379))/24,(((AA107+AB107+AG107)*W107)/24))</f>
        <v>0</v>
      </c>
      <c r="AI107" s="464">
        <f t="shared" si="31"/>
        <v>0</v>
      </c>
      <c r="AJ107" s="465"/>
      <c r="AK107" s="479">
        <f>IF(H107="Y",(AI107*Rates!$I$379+AJ107),(AI107+AJ107))</f>
        <v>0</v>
      </c>
      <c r="AL107" s="426">
        <f t="shared" si="32"/>
        <v>0</v>
      </c>
      <c r="AM107" s="463">
        <f t="shared" si="22"/>
        <v>0</v>
      </c>
      <c r="AN107" s="37">
        <v>98</v>
      </c>
      <c r="AO107" s="1096"/>
      <c r="AP107" s="1097"/>
      <c r="AQ107" s="387"/>
      <c r="AR107" s="1070"/>
      <c r="AS107" s="387"/>
      <c r="AT107" s="1097"/>
      <c r="AU107" s="428"/>
      <c r="AV107" s="622"/>
      <c r="AW107" s="623"/>
    </row>
    <row r="108" spans="1:49" ht="27" hidden="1" customHeight="1" x14ac:dyDescent="0.2">
      <c r="A108" s="37">
        <v>99</v>
      </c>
      <c r="B108" s="509"/>
      <c r="C108" s="510"/>
      <c r="D108" s="511"/>
      <c r="E108" s="512"/>
      <c r="F108" s="1115"/>
      <c r="G108" s="1110" t="str">
        <f t="shared" si="23"/>
        <v>No</v>
      </c>
      <c r="H108" s="513"/>
      <c r="I108" s="482"/>
      <c r="J108" s="70"/>
      <c r="K108" s="1120">
        <f t="shared" si="24"/>
        <v>0</v>
      </c>
      <c r="L108" s="1125"/>
      <c r="M108" s="396"/>
      <c r="N108" s="593"/>
      <c r="O108" s="354">
        <f t="shared" si="25"/>
        <v>0</v>
      </c>
      <c r="P108" s="355">
        <f>IF(H108="y",(((N108+O108)*Rates!$J$331))/24,((N108+O108)/24))</f>
        <v>0</v>
      </c>
      <c r="Q108" s="355">
        <f>P108*M108*K108</f>
        <v>0</v>
      </c>
      <c r="R108" s="101">
        <f>IF(H108="Y",Rates!$I$362*Q108,Q108)</f>
        <v>0</v>
      </c>
      <c r="S108" s="101">
        <f t="shared" si="26"/>
        <v>0</v>
      </c>
      <c r="T108" s="66">
        <f t="shared" si="27"/>
        <v>0</v>
      </c>
      <c r="U108" s="63"/>
      <c r="V108" s="462"/>
      <c r="W108" s="1120">
        <f t="shared" si="28"/>
        <v>0</v>
      </c>
      <c r="X108" s="1125"/>
      <c r="Y108" s="396"/>
      <c r="Z108" s="481"/>
      <c r="AA108" s="480">
        <f>IF(Z108="",0,ROUND(VLOOKUP(Z108,Compsch!$A$10:$B$509,2),2))</f>
        <v>0</v>
      </c>
      <c r="AB108" s="480">
        <f>AA108*IF(I108="Both",0.05*2,IF(I108="",0,0.05))</f>
        <v>0</v>
      </c>
      <c r="AC108" s="480">
        <f t="shared" si="29"/>
        <v>0</v>
      </c>
      <c r="AD108" s="1112" t="str">
        <f t="shared" si="33"/>
        <v/>
      </c>
      <c r="AE108" s="459">
        <f>IF(AD108="",0,ROUND((VLOOKUP(Z108,Compsch!$A$11:$I$390,9)-(VLOOKUP(Z108,Compsch!$A$11:$I$390,7)))*(VLOOKUP(AD108,MeritSch!$A$5:$B$370,2)),0))</f>
        <v>0</v>
      </c>
      <c r="AF108" s="480">
        <f>AE108*IF(I108="Both",0.1,IF(I108="",0,0.05))</f>
        <v>0</v>
      </c>
      <c r="AG108" s="605">
        <f t="shared" si="30"/>
        <v>0</v>
      </c>
      <c r="AH108" s="373">
        <f>IF(H108="Y",((((AA108+AB108+AG108)*W108)*Rates!$I$379))/24,(((AA108+AB108+AG108)*W108)/24))</f>
        <v>0</v>
      </c>
      <c r="AI108" s="464">
        <f t="shared" si="31"/>
        <v>0</v>
      </c>
      <c r="AJ108" s="465"/>
      <c r="AK108" s="479">
        <f>IF(H108="Y",(AI108*Rates!$I$379+AJ108),(AI108+AJ108))</f>
        <v>0</v>
      </c>
      <c r="AL108" s="426">
        <f t="shared" si="32"/>
        <v>0</v>
      </c>
      <c r="AM108" s="463">
        <f t="shared" si="22"/>
        <v>0</v>
      </c>
      <c r="AN108" s="37">
        <v>99</v>
      </c>
      <c r="AO108" s="1096"/>
      <c r="AP108" s="1097"/>
      <c r="AQ108" s="387"/>
      <c r="AR108" s="1070"/>
      <c r="AS108" s="387"/>
      <c r="AT108" s="1097"/>
      <c r="AU108" s="428"/>
      <c r="AV108" s="622"/>
      <c r="AW108" s="623"/>
    </row>
    <row r="109" spans="1:49" ht="27" hidden="1" customHeight="1" x14ac:dyDescent="0.2">
      <c r="A109" s="37">
        <v>100</v>
      </c>
      <c r="B109" s="509"/>
      <c r="C109" s="510"/>
      <c r="D109" s="511"/>
      <c r="E109" s="512"/>
      <c r="F109" s="1115"/>
      <c r="G109" s="1110" t="str">
        <f t="shared" si="23"/>
        <v>No</v>
      </c>
      <c r="H109" s="513"/>
      <c r="I109" s="482"/>
      <c r="J109" s="70"/>
      <c r="K109" s="1120">
        <f t="shared" si="24"/>
        <v>0</v>
      </c>
      <c r="L109" s="1125"/>
      <c r="M109" s="396"/>
      <c r="N109" s="593"/>
      <c r="O109" s="354">
        <f t="shared" si="25"/>
        <v>0</v>
      </c>
      <c r="P109" s="355">
        <f>IF(H109="y",(((N109+O109)*Rates!$J$331))/24,((N109+O109)/24))</f>
        <v>0</v>
      </c>
      <c r="Q109" s="355">
        <f>P109*M109*K109</f>
        <v>0</v>
      </c>
      <c r="R109" s="101">
        <f>IF(H109="Y",Rates!$I$362*Q109,Q109)</f>
        <v>0</v>
      </c>
      <c r="S109" s="101">
        <f t="shared" si="26"/>
        <v>0</v>
      </c>
      <c r="T109" s="66">
        <f t="shared" si="27"/>
        <v>0</v>
      </c>
      <c r="U109" s="63"/>
      <c r="V109" s="462"/>
      <c r="W109" s="1120">
        <f t="shared" si="28"/>
        <v>0</v>
      </c>
      <c r="X109" s="1125"/>
      <c r="Y109" s="396"/>
      <c r="Z109" s="481"/>
      <c r="AA109" s="480">
        <f>IF(Z109="",0,ROUND(VLOOKUP(Z109,Compsch!$A$10:$B$509,2),2))</f>
        <v>0</v>
      </c>
      <c r="AB109" s="480">
        <f>AA109*IF(I109="Both",0.05*2,IF(I109="",0,0.05))</f>
        <v>0</v>
      </c>
      <c r="AC109" s="480">
        <f t="shared" si="29"/>
        <v>0</v>
      </c>
      <c r="AD109" s="1112" t="str">
        <f t="shared" si="33"/>
        <v/>
      </c>
      <c r="AE109" s="459">
        <f>IF(AD109="",0,ROUND((VLOOKUP(Z109,Compsch!$A$11:$I$390,9)-(VLOOKUP(Z109,Compsch!$A$11:$I$390,7)))*(VLOOKUP(AD109,MeritSch!$A$5:$B$370,2)),0))</f>
        <v>0</v>
      </c>
      <c r="AF109" s="480">
        <f>AE109*IF(I109="Both",0.1,IF(I109="",0,0.05))</f>
        <v>0</v>
      </c>
      <c r="AG109" s="605">
        <f t="shared" si="30"/>
        <v>0</v>
      </c>
      <c r="AH109" s="373">
        <f>IF(H109="Y",((((AA109+AB109+AG109)*W109)*Rates!$I$379))/24,(((AA109+AB109+AG109)*W109)/24))</f>
        <v>0</v>
      </c>
      <c r="AI109" s="464">
        <f t="shared" si="31"/>
        <v>0</v>
      </c>
      <c r="AJ109" s="465"/>
      <c r="AK109" s="479">
        <f>IF(H109="Y",(AI109*Rates!$I$379+AJ109),(AI109+AJ109))</f>
        <v>0</v>
      </c>
      <c r="AL109" s="426">
        <f t="shared" si="32"/>
        <v>0</v>
      </c>
      <c r="AM109" s="463">
        <f t="shared" si="22"/>
        <v>0</v>
      </c>
      <c r="AN109" s="37">
        <v>100</v>
      </c>
      <c r="AO109" s="1096"/>
      <c r="AP109" s="1097"/>
      <c r="AQ109" s="387"/>
      <c r="AR109" s="1070"/>
      <c r="AS109" s="387"/>
      <c r="AT109" s="1097"/>
      <c r="AU109" s="428"/>
      <c r="AV109" s="622"/>
      <c r="AW109" s="623"/>
    </row>
    <row r="110" spans="1:49" ht="27" customHeight="1" x14ac:dyDescent="0.2">
      <c r="A110" s="37"/>
      <c r="B110" s="509"/>
      <c r="C110" s="65" t="s">
        <v>1067</v>
      </c>
      <c r="D110" s="511"/>
      <c r="E110" s="251"/>
      <c r="F110" s="251"/>
      <c r="G110" s="251"/>
      <c r="H110" s="60"/>
      <c r="I110" s="60"/>
      <c r="J110" s="70"/>
      <c r="K110" s="61"/>
      <c r="L110" s="1126"/>
      <c r="M110" s="61"/>
      <c r="N110" s="104"/>
      <c r="O110" s="104"/>
      <c r="P110" s="104"/>
      <c r="Q110" s="355"/>
      <c r="R110" s="394"/>
      <c r="S110" s="1090">
        <f>R110*Rates!$E$367</f>
        <v>0</v>
      </c>
      <c r="T110" s="62">
        <f>S110</f>
        <v>0</v>
      </c>
      <c r="U110" s="63"/>
      <c r="V110" s="466"/>
      <c r="W110" s="467"/>
      <c r="X110" s="1128"/>
      <c r="Y110" s="467"/>
      <c r="Z110" s="468"/>
      <c r="AA110" s="480"/>
      <c r="AB110" s="454"/>
      <c r="AC110" s="480"/>
      <c r="AD110" s="1111"/>
      <c r="AE110" s="463"/>
      <c r="AF110" s="598"/>
      <c r="AG110" s="597"/>
      <c r="AH110" s="459"/>
      <c r="AI110" s="464"/>
      <c r="AJ110" s="463"/>
      <c r="AK110" s="394"/>
      <c r="AL110" s="469">
        <f>AK110*Rates!$E$384</f>
        <v>0</v>
      </c>
      <c r="AM110" s="463">
        <f>SUM(AL110:AL110)</f>
        <v>0</v>
      </c>
      <c r="AN110" s="63"/>
      <c r="AO110" s="556" t="s">
        <v>816</v>
      </c>
      <c r="AP110" s="557"/>
      <c r="AQ110" s="1390"/>
      <c r="AR110" s="1391"/>
      <c r="AS110" s="1391"/>
      <c r="AT110" s="1392"/>
      <c r="AU110" s="795"/>
      <c r="AV110" s="795"/>
      <c r="AW110" s="795"/>
    </row>
    <row r="111" spans="1:49" ht="26.25" customHeight="1" x14ac:dyDescent="0.2">
      <c r="A111" s="37"/>
      <c r="B111" s="509"/>
      <c r="C111" s="146" t="s">
        <v>1068</v>
      </c>
      <c r="D111" s="511"/>
      <c r="E111" s="252"/>
      <c r="F111" s="252"/>
      <c r="G111" s="252"/>
      <c r="H111" s="102"/>
      <c r="I111" s="102"/>
      <c r="J111" s="70"/>
      <c r="K111" s="103"/>
      <c r="L111" s="1127"/>
      <c r="M111" s="103"/>
      <c r="N111" s="104"/>
      <c r="O111" s="104"/>
      <c r="P111" s="104"/>
      <c r="Q111" s="104"/>
      <c r="R111" s="394"/>
      <c r="S111" s="1090">
        <f>R111*Rates!$E$367</f>
        <v>0</v>
      </c>
      <c r="T111" s="62">
        <f>S111</f>
        <v>0</v>
      </c>
      <c r="U111" s="63"/>
      <c r="V111" s="456"/>
      <c r="W111" s="457"/>
      <c r="X111" s="825"/>
      <c r="Y111" s="457"/>
      <c r="Z111" s="457"/>
      <c r="AA111" s="457"/>
      <c r="AB111" s="457"/>
      <c r="AC111" s="457"/>
      <c r="AD111" s="458"/>
      <c r="AE111" s="459"/>
      <c r="AF111" s="598"/>
      <c r="AG111" s="598"/>
      <c r="AH111" s="459"/>
      <c r="AI111" s="460"/>
      <c r="AJ111" s="461"/>
      <c r="AK111" s="370"/>
      <c r="AL111" s="459"/>
      <c r="AM111" s="463"/>
      <c r="AN111" s="63"/>
      <c r="AO111" s="63"/>
      <c r="AP111" s="63"/>
      <c r="AQ111" s="63"/>
      <c r="AR111" s="63"/>
      <c r="AS111" s="63"/>
      <c r="AT111" s="63"/>
    </row>
    <row r="112" spans="1:49" ht="26.25" customHeight="1" x14ac:dyDescent="0.2">
      <c r="A112" s="37"/>
      <c r="B112" s="509"/>
      <c r="C112" s="136" t="s">
        <v>1069</v>
      </c>
      <c r="D112" s="511"/>
      <c r="E112" s="252"/>
      <c r="F112" s="252"/>
      <c r="G112" s="252"/>
      <c r="H112" s="102"/>
      <c r="I112" s="102"/>
      <c r="J112" s="70"/>
      <c r="K112" s="103"/>
      <c r="L112" s="1127"/>
      <c r="M112" s="103"/>
      <c r="N112" s="104"/>
      <c r="O112" s="104"/>
      <c r="P112" s="104"/>
      <c r="Q112" s="104"/>
      <c r="R112" s="394"/>
      <c r="S112" s="1091"/>
      <c r="T112" s="802"/>
      <c r="U112" s="63"/>
      <c r="V112" s="102"/>
      <c r="W112" s="144"/>
      <c r="X112" s="1129"/>
      <c r="Y112" s="144"/>
      <c r="Z112" s="144"/>
      <c r="AA112" s="144"/>
      <c r="AB112" s="144"/>
      <c r="AC112" s="144"/>
      <c r="AD112" s="340"/>
      <c r="AE112" s="67"/>
      <c r="AF112" s="599"/>
      <c r="AG112" s="599"/>
      <c r="AH112" s="517"/>
      <c r="AI112" s="105"/>
      <c r="AJ112" s="106"/>
      <c r="AK112" s="370"/>
      <c r="AL112" s="514"/>
      <c r="AM112" s="67"/>
      <c r="AN112" s="63"/>
      <c r="AO112" s="63"/>
      <c r="AP112" s="63"/>
      <c r="AQ112" s="63"/>
      <c r="AR112" s="63"/>
      <c r="AS112" s="63"/>
      <c r="AT112" s="63"/>
    </row>
    <row r="113" spans="1:46" ht="26.25" customHeight="1" x14ac:dyDescent="0.2">
      <c r="A113" s="37"/>
      <c r="B113" s="509"/>
      <c r="C113" s="818" t="s">
        <v>1106</v>
      </c>
      <c r="D113" s="511"/>
      <c r="E113" s="819"/>
      <c r="F113" s="819"/>
      <c r="G113" s="819"/>
      <c r="H113" s="820"/>
      <c r="I113" s="820"/>
      <c r="J113" s="70"/>
      <c r="K113" s="821"/>
      <c r="L113" s="1127"/>
      <c r="M113" s="821"/>
      <c r="N113" s="822"/>
      <c r="O113" s="822"/>
      <c r="P113" s="822"/>
      <c r="Q113" s="822"/>
      <c r="R113" s="823">
        <f>'E2 GRANT'!P21</f>
        <v>0</v>
      </c>
      <c r="S113" s="1090"/>
      <c r="T113" s="823">
        <f>'E2 GRANT'!R21</f>
        <v>0</v>
      </c>
      <c r="U113" s="63"/>
      <c r="V113" s="824"/>
      <c r="W113" s="825"/>
      <c r="X113" s="825"/>
      <c r="Y113" s="825"/>
      <c r="Z113" s="825"/>
      <c r="AA113" s="825"/>
      <c r="AB113" s="825"/>
      <c r="AC113" s="825"/>
      <c r="AD113" s="458"/>
      <c r="AE113" s="826"/>
      <c r="AF113" s="826"/>
      <c r="AG113" s="826"/>
      <c r="AH113" s="826"/>
      <c r="AI113" s="827"/>
      <c r="AJ113" s="461"/>
      <c r="AK113" s="370">
        <f>'E2 GRANT'!AI21</f>
        <v>0</v>
      </c>
      <c r="AL113" s="826"/>
      <c r="AM113" s="828">
        <f>'E2 GRANT'!AK21</f>
        <v>0</v>
      </c>
      <c r="AN113" s="63"/>
      <c r="AO113" s="63"/>
      <c r="AP113" s="63"/>
      <c r="AQ113" s="63"/>
      <c r="AR113" s="63"/>
      <c r="AS113" s="63"/>
      <c r="AT113" s="63"/>
    </row>
    <row r="114" spans="1:46" ht="26.25" customHeight="1" x14ac:dyDescent="0.2">
      <c r="A114" s="37"/>
      <c r="B114" s="509"/>
      <c r="C114" s="511" t="s">
        <v>1110</v>
      </c>
      <c r="D114" s="511"/>
      <c r="E114" s="252"/>
      <c r="F114" s="252"/>
      <c r="G114" s="252"/>
      <c r="H114" s="102"/>
      <c r="I114" s="102"/>
      <c r="J114" s="70"/>
      <c r="K114" s="103"/>
      <c r="L114" s="1127"/>
      <c r="M114" s="103"/>
      <c r="N114" s="104"/>
      <c r="O114" s="104"/>
      <c r="P114" s="104"/>
      <c r="Q114" s="104"/>
      <c r="R114" s="394"/>
      <c r="S114" s="1090"/>
      <c r="T114" s="395"/>
      <c r="U114" s="63"/>
      <c r="V114" s="102"/>
      <c r="W114" s="144"/>
      <c r="X114" s="1129"/>
      <c r="Y114" s="144"/>
      <c r="Z114" s="144"/>
      <c r="AA114" s="144"/>
      <c r="AB114" s="144"/>
      <c r="AC114" s="144"/>
      <c r="AD114" s="340"/>
      <c r="AE114" s="67"/>
      <c r="AF114" s="600"/>
      <c r="AG114" s="600"/>
      <c r="AH114" s="516"/>
      <c r="AI114" s="254"/>
      <c r="AJ114" s="253"/>
      <c r="AK114" s="370"/>
      <c r="AL114" s="514"/>
      <c r="AM114" s="67"/>
      <c r="AN114" s="63"/>
      <c r="AO114" s="63"/>
      <c r="AP114" s="63"/>
      <c r="AQ114" s="63"/>
      <c r="AR114" s="63"/>
      <c r="AS114" s="63"/>
      <c r="AT114" s="63"/>
    </row>
    <row r="115" spans="1:46" x14ac:dyDescent="0.2">
      <c r="A115" s="112"/>
      <c r="B115" s="126"/>
      <c r="C115" s="127"/>
      <c r="D115" s="126"/>
      <c r="E115" s="126"/>
      <c r="F115" s="126"/>
      <c r="G115" s="126"/>
      <c r="H115" s="126"/>
      <c r="I115" s="126"/>
      <c r="J115" s="126"/>
      <c r="K115" s="126"/>
      <c r="L115" s="126"/>
      <c r="M115" s="126"/>
      <c r="N115" s="126"/>
      <c r="O115" s="126"/>
      <c r="P115" s="126"/>
      <c r="Q115" s="126"/>
      <c r="R115" s="126"/>
      <c r="S115" s="126"/>
      <c r="T115" s="126"/>
      <c r="U115" s="126"/>
      <c r="V115" s="126"/>
      <c r="W115" s="126"/>
      <c r="X115" s="126"/>
      <c r="Y115" s="126"/>
      <c r="Z115" s="126"/>
      <c r="AA115" s="126"/>
      <c r="AB115" s="126"/>
      <c r="AC115" s="126"/>
      <c r="AD115" s="126"/>
      <c r="AE115" s="126"/>
      <c r="AF115" s="126"/>
      <c r="AG115" s="126"/>
      <c r="AH115" s="126"/>
      <c r="AI115" s="126"/>
      <c r="AJ115" s="126"/>
      <c r="AK115" s="126"/>
      <c r="AL115" s="126"/>
      <c r="AM115" s="126"/>
      <c r="AN115" s="126"/>
      <c r="AO115" s="63"/>
      <c r="AP115" s="63"/>
      <c r="AQ115" s="63"/>
      <c r="AR115" s="63"/>
      <c r="AS115" s="63"/>
      <c r="AT115" s="63"/>
    </row>
    <row r="116" spans="1:46" ht="25.5" customHeight="1" x14ac:dyDescent="0.2">
      <c r="A116" s="112"/>
      <c r="B116" s="78" t="s">
        <v>655</v>
      </c>
      <c r="C116" s="1069" t="s">
        <v>1239</v>
      </c>
      <c r="D116" s="78"/>
      <c r="E116" s="78"/>
      <c r="F116" s="78"/>
      <c r="G116" s="78"/>
      <c r="H116" s="55"/>
      <c r="I116" s="55"/>
      <c r="J116" s="111"/>
      <c r="K116" s="400">
        <f>ROUND(SUM(K10:K114),2)-K113</f>
        <v>0</v>
      </c>
      <c r="L116" s="400">
        <f>SUM(L10:L114)-L113</f>
        <v>0</v>
      </c>
      <c r="M116" s="63"/>
      <c r="O116" s="79">
        <f>SUM(O10:O115)</f>
        <v>0</v>
      </c>
      <c r="P116" s="63"/>
      <c r="Q116" s="79">
        <f>SUM(Q10:Q115)</f>
        <v>0</v>
      </c>
      <c r="R116" s="401">
        <f>SUM(R10:R115)</f>
        <v>0</v>
      </c>
      <c r="S116" s="63"/>
      <c r="T116" s="401">
        <f>ROUND(SUM(T10:T114),0)</f>
        <v>0</v>
      </c>
      <c r="U116" s="63"/>
      <c r="V116" s="63"/>
      <c r="W116" s="400">
        <f>ROUND(SUM(W10:W114),2)-W113</f>
        <v>0</v>
      </c>
      <c r="X116" s="400">
        <f>SUM(X10:X114)-X113</f>
        <v>0</v>
      </c>
      <c r="Y116" s="63"/>
      <c r="Z116" s="63"/>
      <c r="AA116" s="79">
        <f>SUM(AA10:AA115)</f>
        <v>0</v>
      </c>
      <c r="AB116" s="79">
        <f>SUM(AB10:AB115)</f>
        <v>0</v>
      </c>
      <c r="AC116" s="56"/>
      <c r="AD116" s="63"/>
      <c r="AE116" s="79">
        <f>SUM(AE10:AE115)</f>
        <v>0</v>
      </c>
      <c r="AF116" s="126"/>
      <c r="AG116" s="126"/>
      <c r="AH116" s="63"/>
      <c r="AI116" s="63"/>
      <c r="AJ116" s="63"/>
      <c r="AK116" s="401">
        <f>ROUND(SUM(AK10:AK114),0)</f>
        <v>0</v>
      </c>
      <c r="AL116" s="63"/>
      <c r="AM116" s="401">
        <f>SUM(AM10:AM114)</f>
        <v>0</v>
      </c>
      <c r="AN116" s="63"/>
      <c r="AO116" s="63"/>
      <c r="AP116" s="63"/>
      <c r="AQ116" s="63"/>
      <c r="AR116" s="63"/>
      <c r="AS116" s="63"/>
      <c r="AT116" s="63"/>
    </row>
    <row r="117" spans="1:46" x14ac:dyDescent="0.2">
      <c r="A117" s="112"/>
      <c r="B117" s="63"/>
      <c r="C117" s="63"/>
      <c r="D117" s="63"/>
      <c r="E117" s="63"/>
      <c r="F117" s="63"/>
      <c r="G117" s="63"/>
      <c r="H117" s="63"/>
      <c r="I117" s="63"/>
      <c r="J117" s="63"/>
      <c r="K117" s="56" t="s">
        <v>243</v>
      </c>
      <c r="L117" s="56" t="s">
        <v>243</v>
      </c>
      <c r="M117" s="63"/>
      <c r="O117" s="335" t="s">
        <v>653</v>
      </c>
      <c r="P117" s="63"/>
      <c r="Q117" s="56" t="s">
        <v>17</v>
      </c>
      <c r="R117" s="56" t="s">
        <v>534</v>
      </c>
      <c r="S117" s="63"/>
      <c r="T117" s="56" t="s">
        <v>18</v>
      </c>
      <c r="U117" s="63"/>
      <c r="V117" s="63"/>
      <c r="W117" s="56" t="s">
        <v>243</v>
      </c>
      <c r="X117" s="56" t="s">
        <v>243</v>
      </c>
      <c r="Y117" s="63"/>
      <c r="Z117" s="63"/>
      <c r="AA117" s="56" t="s">
        <v>654</v>
      </c>
      <c r="AB117" s="56" t="s">
        <v>643</v>
      </c>
      <c r="AC117" s="56"/>
      <c r="AD117" s="63"/>
      <c r="AE117" s="63"/>
      <c r="AF117" s="63"/>
      <c r="AG117" s="63"/>
      <c r="AH117" s="63"/>
      <c r="AI117" s="63"/>
      <c r="AJ117" s="63"/>
      <c r="AK117" s="56" t="s">
        <v>534</v>
      </c>
      <c r="AL117" s="63"/>
      <c r="AM117" s="80" t="s">
        <v>18</v>
      </c>
      <c r="AN117" s="63"/>
      <c r="AO117" s="63"/>
      <c r="AP117" s="63"/>
      <c r="AQ117" s="63"/>
      <c r="AR117" s="63"/>
      <c r="AS117" s="63"/>
      <c r="AT117" s="63"/>
    </row>
    <row r="118" spans="1:46" ht="12.75" x14ac:dyDescent="0.2">
      <c r="A118" s="112"/>
      <c r="B118" s="1373" t="str">
        <f>'SUMMARY FORM'!L30&amp;" INSTRUCTIONS HIGHLIGHT:  Classified Step Increases"</f>
        <v>FY21 INSTRUCTIONS HIGHLIGHT:  Classified Step Increases</v>
      </c>
      <c r="C118" s="1374"/>
      <c r="D118" s="1374"/>
      <c r="E118" s="1374"/>
      <c r="F118" s="1375"/>
      <c r="G118" s="1375"/>
      <c r="H118" s="1374"/>
      <c r="I118" s="1374"/>
      <c r="J118" s="1374"/>
      <c r="K118" s="1374"/>
      <c r="L118" s="1376"/>
      <c r="M118" s="1374"/>
      <c r="N118" s="1377"/>
      <c r="O118" s="490"/>
      <c r="P118" s="490"/>
      <c r="Q118" s="490"/>
      <c r="R118" s="490"/>
      <c r="S118" s="490"/>
      <c r="T118" s="490"/>
      <c r="U118" s="490"/>
      <c r="V118" s="490"/>
      <c r="W118" s="536"/>
      <c r="X118" s="536"/>
      <c r="Y118" s="490"/>
      <c r="Z118" s="490"/>
      <c r="AA118" s="490"/>
      <c r="AB118" s="490"/>
      <c r="AC118" s="490"/>
      <c r="AD118" s="490"/>
      <c r="AE118" s="490"/>
      <c r="AF118" s="490"/>
      <c r="AG118" s="490"/>
      <c r="AH118" s="490"/>
      <c r="AI118" s="490"/>
      <c r="AJ118" s="490"/>
      <c r="AK118" s="490"/>
      <c r="AL118" s="490"/>
      <c r="AM118" s="490"/>
      <c r="AN118" s="63"/>
      <c r="AO118" s="63"/>
      <c r="AP118" s="63"/>
      <c r="AQ118" s="63"/>
      <c r="AR118" s="63"/>
      <c r="AS118" s="63"/>
      <c r="AT118" s="63"/>
    </row>
    <row r="119" spans="1:46" ht="12.75" x14ac:dyDescent="0.2">
      <c r="A119" s="441"/>
      <c r="B119" s="1362" t="s">
        <v>857</v>
      </c>
      <c r="C119" s="1363"/>
      <c r="D119" s="592" t="s">
        <v>854</v>
      </c>
      <c r="E119" s="1354" t="s">
        <v>3903</v>
      </c>
      <c r="F119" s="1355"/>
      <c r="G119" s="1355"/>
      <c r="H119" s="1354"/>
      <c r="I119" s="1354"/>
      <c r="J119" s="1354"/>
      <c r="K119" s="1364" t="s">
        <v>858</v>
      </c>
      <c r="L119" s="1365"/>
      <c r="M119" s="1364"/>
      <c r="N119" s="1364"/>
      <c r="O119" s="534"/>
      <c r="P119" s="534"/>
      <c r="Q119" s="534"/>
      <c r="R119" s="534"/>
      <c r="S119" s="534"/>
      <c r="T119" s="534"/>
      <c r="U119" s="534"/>
      <c r="V119" s="534"/>
      <c r="W119" s="537"/>
      <c r="X119" s="537"/>
      <c r="Y119" s="534"/>
      <c r="Z119" s="534"/>
      <c r="AA119" s="534"/>
      <c r="AB119" s="534"/>
      <c r="AC119" s="534"/>
      <c r="AD119" s="534"/>
      <c r="AE119" s="534"/>
      <c r="AF119" s="534"/>
      <c r="AG119" s="534"/>
      <c r="AH119" s="534"/>
      <c r="AI119" s="534"/>
      <c r="AJ119" s="534"/>
      <c r="AK119" s="534"/>
      <c r="AL119" s="534"/>
      <c r="AM119" s="534"/>
      <c r="AN119" s="63"/>
      <c r="AO119" s="63"/>
      <c r="AP119" s="63"/>
      <c r="AQ119" s="63"/>
      <c r="AR119" s="63"/>
      <c r="AS119" s="63"/>
      <c r="AT119" s="63"/>
    </row>
    <row r="120" spans="1:46" ht="12.75" x14ac:dyDescent="0.2">
      <c r="A120" s="441"/>
      <c r="B120" s="1361" t="str">
        <f>"If Date falls before 6/30/"&amp;RIGHT('SUMMARY FORM'!J15,2)&amp;":"</f>
        <v>If Date falls before 6/30/20:</v>
      </c>
      <c r="C120" s="1361"/>
      <c r="D120" s="610" t="s">
        <v>855</v>
      </c>
      <c r="E120" s="1356" t="s">
        <v>856</v>
      </c>
      <c r="F120" s="1357"/>
      <c r="G120" s="1357"/>
      <c r="H120" s="1356"/>
      <c r="I120" s="1356"/>
      <c r="J120" s="1356"/>
      <c r="K120" s="1358" t="s">
        <v>3869</v>
      </c>
      <c r="L120" s="1359"/>
      <c r="M120" s="1360"/>
      <c r="N120" s="1360"/>
      <c r="O120" s="534"/>
      <c r="P120" s="534"/>
      <c r="Q120" s="534"/>
      <c r="R120" s="534"/>
      <c r="S120" s="534"/>
      <c r="T120" s="534"/>
      <c r="U120" s="534"/>
      <c r="V120" s="534"/>
      <c r="W120" s="537"/>
      <c r="X120" s="537"/>
      <c r="Y120" s="534"/>
      <c r="Z120" s="534"/>
      <c r="AA120" s="534"/>
      <c r="AB120" s="534"/>
      <c r="AC120" s="534"/>
      <c r="AD120" s="534"/>
      <c r="AE120" s="534"/>
      <c r="AF120" s="534"/>
      <c r="AG120" s="534"/>
      <c r="AH120" s="534"/>
      <c r="AI120" s="534"/>
      <c r="AJ120" s="534"/>
      <c r="AK120" s="534"/>
      <c r="AL120" s="534"/>
      <c r="AM120" s="534"/>
      <c r="AN120" s="63"/>
      <c r="AO120" s="63"/>
      <c r="AP120" s="63"/>
      <c r="AQ120" s="63"/>
      <c r="AR120" s="63"/>
      <c r="AS120" s="63"/>
      <c r="AT120" s="63"/>
    </row>
    <row r="121" spans="1:46" ht="12.75" x14ac:dyDescent="0.2">
      <c r="A121" s="441"/>
      <c r="B121" s="1361" t="str">
        <f>"If Date falls on 7/1/"&amp;RIGHT('SUMMARY FORM'!J15,2)&amp;" or later:"</f>
        <v>If Date falls on 7/1/20 or later:</v>
      </c>
      <c r="C121" s="1361"/>
      <c r="D121" s="610" t="s">
        <v>855</v>
      </c>
      <c r="E121" s="1356" t="s">
        <v>855</v>
      </c>
      <c r="F121" s="1357"/>
      <c r="G121" s="1357"/>
      <c r="H121" s="1356"/>
      <c r="I121" s="1356"/>
      <c r="J121" s="1356"/>
      <c r="K121" s="1358" t="s">
        <v>3870</v>
      </c>
      <c r="L121" s="1359"/>
      <c r="M121" s="1360"/>
      <c r="N121" s="1360"/>
      <c r="O121" s="534"/>
      <c r="P121" s="534"/>
      <c r="Q121" s="534"/>
      <c r="R121" s="534"/>
      <c r="S121" s="534"/>
      <c r="T121" s="534"/>
      <c r="U121" s="534"/>
      <c r="V121" s="534"/>
      <c r="W121" s="537"/>
      <c r="X121" s="537"/>
      <c r="Y121" s="534"/>
      <c r="Z121" s="534"/>
      <c r="AA121" s="534"/>
      <c r="AB121" s="534"/>
      <c r="AC121" s="534"/>
      <c r="AD121" s="534"/>
      <c r="AE121" s="534"/>
      <c r="AF121" s="534"/>
      <c r="AG121" s="534"/>
      <c r="AH121" s="534"/>
      <c r="AI121" s="534"/>
      <c r="AJ121" s="534"/>
      <c r="AK121" s="534"/>
      <c r="AL121" s="534"/>
      <c r="AM121" s="534"/>
      <c r="AN121" s="63"/>
      <c r="AO121" s="63"/>
      <c r="AP121" s="63"/>
      <c r="AQ121" s="63"/>
      <c r="AR121" s="63"/>
      <c r="AS121" s="63"/>
      <c r="AT121" s="63"/>
    </row>
    <row r="122" spans="1:46" ht="12.75" x14ac:dyDescent="0.2">
      <c r="A122" s="441"/>
      <c r="B122" s="1366" t="s">
        <v>3874</v>
      </c>
      <c r="C122" s="1367"/>
      <c r="D122" s="1367"/>
      <c r="E122" s="1367"/>
      <c r="F122" s="1368"/>
      <c r="G122" s="1368"/>
      <c r="H122" s="1367"/>
      <c r="I122" s="1367"/>
      <c r="J122" s="1367"/>
      <c r="K122" s="1367"/>
      <c r="L122" s="1369"/>
      <c r="M122" s="1367"/>
      <c r="N122" s="1370"/>
      <c r="O122" s="534"/>
      <c r="P122" s="534"/>
      <c r="Q122" s="534"/>
      <c r="R122" s="534"/>
      <c r="S122" s="534"/>
      <c r="T122" s="534"/>
      <c r="U122" s="534"/>
      <c r="V122" s="534"/>
      <c r="W122" s="537"/>
      <c r="X122" s="537"/>
      <c r="Y122" s="534"/>
      <c r="Z122" s="534"/>
      <c r="AA122" s="534"/>
      <c r="AB122" s="534"/>
      <c r="AC122" s="534"/>
      <c r="AD122" s="534"/>
      <c r="AE122" s="534"/>
      <c r="AF122" s="534"/>
      <c r="AG122" s="534"/>
      <c r="AH122" s="534"/>
      <c r="AI122" s="534"/>
      <c r="AJ122" s="534"/>
      <c r="AK122" s="534"/>
      <c r="AL122" s="534"/>
      <c r="AM122" s="534"/>
      <c r="AN122" s="63"/>
      <c r="AO122" s="63"/>
      <c r="AP122" s="63"/>
      <c r="AQ122" s="63"/>
      <c r="AR122" s="63"/>
      <c r="AS122" s="63"/>
      <c r="AT122" s="63"/>
    </row>
    <row r="123" spans="1:46" ht="12.75" x14ac:dyDescent="0.2">
      <c r="A123" s="441"/>
      <c r="B123" s="1366" t="s">
        <v>3873</v>
      </c>
      <c r="C123" s="1367"/>
      <c r="D123" s="1367"/>
      <c r="E123" s="1367"/>
      <c r="F123" s="1368"/>
      <c r="G123" s="1368"/>
      <c r="H123" s="1367"/>
      <c r="I123" s="1367"/>
      <c r="J123" s="1367"/>
      <c r="K123" s="1367"/>
      <c r="L123" s="1369"/>
      <c r="M123" s="1367"/>
      <c r="N123" s="1370"/>
      <c r="O123" s="534"/>
      <c r="P123" s="534"/>
      <c r="Q123" s="534"/>
      <c r="R123" s="534"/>
      <c r="S123" s="534"/>
      <c r="T123" s="534"/>
      <c r="U123" s="534"/>
      <c r="V123" s="534"/>
      <c r="W123" s="537"/>
      <c r="X123" s="537"/>
      <c r="Y123" s="534"/>
      <c r="Z123" s="534"/>
      <c r="AA123" s="534"/>
      <c r="AB123" s="534"/>
      <c r="AC123" s="534"/>
      <c r="AD123" s="534"/>
      <c r="AE123" s="534"/>
      <c r="AF123" s="534"/>
      <c r="AG123" s="534"/>
      <c r="AH123" s="534"/>
      <c r="AI123" s="534"/>
      <c r="AJ123" s="534"/>
      <c r="AK123" s="534"/>
      <c r="AL123" s="534"/>
      <c r="AM123" s="534"/>
      <c r="AN123" s="63"/>
      <c r="AO123" s="63"/>
      <c r="AP123" s="63"/>
      <c r="AQ123" s="63"/>
      <c r="AR123" s="63"/>
      <c r="AS123" s="63"/>
      <c r="AT123" s="63"/>
    </row>
    <row r="124" spans="1:46" ht="12.75" x14ac:dyDescent="0.2">
      <c r="A124" s="441"/>
      <c r="B124" s="1352" t="str">
        <f>'SUMMARY FORM'!N15&amp;" step entered should be the step as of 07/01/"&amp;RIGHT('SUMMARY FORM'!N15,2)-1&amp;".  The prorated "&amp;'SUMMARY FORM'!N15&amp;" merit will be calculated per the Date of Record."</f>
        <v>FY21 step entered should be the step as of 07/01/20.  The prorated FY21 merit will be calculated per the Date of Record.</v>
      </c>
      <c r="C124" s="1352"/>
      <c r="D124" s="1352"/>
      <c r="E124" s="1352"/>
      <c r="F124" s="1353"/>
      <c r="G124" s="1353"/>
      <c r="H124" s="1352"/>
      <c r="I124" s="1352"/>
      <c r="J124" s="1352"/>
      <c r="K124" s="1352"/>
      <c r="L124" s="1353"/>
      <c r="M124" s="1352"/>
      <c r="N124" s="1352"/>
      <c r="O124" s="534"/>
      <c r="P124" s="534"/>
      <c r="Q124" s="534"/>
      <c r="R124" s="534"/>
      <c r="S124" s="534"/>
      <c r="T124" s="534"/>
      <c r="U124" s="534"/>
      <c r="V124" s="534"/>
      <c r="W124" s="537"/>
      <c r="X124" s="537"/>
      <c r="Y124" s="534"/>
      <c r="Z124" s="534"/>
      <c r="AA124" s="534"/>
      <c r="AB124" s="534"/>
      <c r="AC124" s="534"/>
      <c r="AD124" s="534"/>
      <c r="AE124" s="534"/>
      <c r="AF124" s="534"/>
      <c r="AG124" s="534"/>
      <c r="AH124" s="534"/>
      <c r="AI124" s="534"/>
      <c r="AJ124" s="534"/>
      <c r="AK124" s="534"/>
      <c r="AL124" s="534"/>
      <c r="AM124" s="534"/>
      <c r="AN124" s="63"/>
      <c r="AO124" s="63"/>
      <c r="AP124" s="63"/>
      <c r="AQ124" s="63"/>
      <c r="AR124" s="63"/>
      <c r="AS124" s="63"/>
      <c r="AT124" s="63"/>
    </row>
    <row r="125" spans="1:46" ht="12.75" x14ac:dyDescent="0.2">
      <c r="A125" s="441"/>
      <c r="B125" s="534"/>
      <c r="C125" s="534"/>
      <c r="D125" s="534"/>
      <c r="E125" s="534"/>
      <c r="F125" s="534"/>
      <c r="G125" s="534"/>
      <c r="H125" s="534"/>
      <c r="I125" s="534"/>
      <c r="J125" s="534"/>
      <c r="K125" s="537"/>
      <c r="L125" s="537"/>
      <c r="M125" s="534"/>
      <c r="N125" s="534"/>
      <c r="O125" s="534"/>
      <c r="P125" s="534"/>
      <c r="Q125" s="534"/>
      <c r="R125" s="534"/>
      <c r="S125" s="534"/>
      <c r="T125" s="534"/>
      <c r="U125" s="534"/>
      <c r="V125" s="534"/>
      <c r="W125" s="537"/>
      <c r="X125" s="537"/>
      <c r="Y125" s="534"/>
      <c r="Z125" s="534"/>
      <c r="AA125" s="534"/>
      <c r="AB125" s="534"/>
      <c r="AC125" s="534"/>
      <c r="AD125" s="534"/>
      <c r="AE125" s="534"/>
      <c r="AF125" s="534"/>
      <c r="AG125" s="534"/>
      <c r="AH125" s="534"/>
      <c r="AI125" s="534"/>
      <c r="AJ125" s="534"/>
      <c r="AK125" s="534"/>
      <c r="AL125" s="534"/>
      <c r="AM125" s="534"/>
      <c r="AN125" s="63"/>
      <c r="AO125" s="63"/>
      <c r="AP125" s="63"/>
      <c r="AQ125" s="63"/>
      <c r="AR125" s="63"/>
      <c r="AS125" s="63"/>
      <c r="AT125" s="63"/>
    </row>
  </sheetData>
  <sheetProtection algorithmName="SHA-512" hashValue="3L5mH8KeJ4P7ZKBSzCLXzRvxPopsVrFwbzB5llnN6OM2HcMqzJudiJt15y/o5Vdcd3FbXadX1m6cxzYObp1U7A==" saltValue="ou0xELms/AiHnxly0DZluA==" spinCount="100000" sheet="1" objects="1" scenarios="1"/>
  <mergeCells count="23">
    <mergeCell ref="AU6:AW6"/>
    <mergeCell ref="AO5:AW5"/>
    <mergeCell ref="B118:N118"/>
    <mergeCell ref="B5:I5"/>
    <mergeCell ref="K5:T5"/>
    <mergeCell ref="V5:AM5"/>
    <mergeCell ref="AD7:AG7"/>
    <mergeCell ref="AU7:AW7"/>
    <mergeCell ref="AW8:AW9"/>
    <mergeCell ref="AQ110:AT110"/>
    <mergeCell ref="V3:AM4"/>
    <mergeCell ref="B124:N124"/>
    <mergeCell ref="E119:J119"/>
    <mergeCell ref="E120:J120"/>
    <mergeCell ref="E121:J121"/>
    <mergeCell ref="K120:N120"/>
    <mergeCell ref="K121:N121"/>
    <mergeCell ref="B121:C121"/>
    <mergeCell ref="B119:C119"/>
    <mergeCell ref="B120:C120"/>
    <mergeCell ref="K119:N119"/>
    <mergeCell ref="B122:N122"/>
    <mergeCell ref="B123:N123"/>
  </mergeCells>
  <phoneticPr fontId="7" type="noConversion"/>
  <conditionalFormatting sqref="B10:B17">
    <cfRule type="duplicateValues" dxfId="28" priority="6"/>
  </conditionalFormatting>
  <conditionalFormatting sqref="B18:B109">
    <cfRule type="duplicateValues" dxfId="27" priority="3"/>
  </conditionalFormatting>
  <conditionalFormatting sqref="B110:B114">
    <cfRule type="duplicateValues" dxfId="26" priority="2"/>
  </conditionalFormatting>
  <conditionalFormatting sqref="V3:AM4">
    <cfRule type="notContainsBlanks" dxfId="25" priority="1">
      <formula>LEN(TRIM(V3))&gt;0</formula>
    </cfRule>
  </conditionalFormatting>
  <dataValidations xWindow="1264" yWindow="522" count="44">
    <dataValidation allowBlank="1" showInputMessage="1" showErrorMessage="1" promptTitle="Transfer Out position" prompt="When the position is paid from this account This FY but will be paid from another account in Next FY:_x000a__x000a_Enter the Next FY ACCOUNT NUMBER number in this column" sqref="AR9"/>
    <dataValidation allowBlank="1" showInputMessage="1" showErrorMessage="1" promptTitle="If column (T1) = N:" prompt="Split Position: _x000a_Enter the Account Number where balance of FTE will be paid from next year.  (e.g. 2221-254-233F 0.40). " sqref="AP9"/>
    <dataValidation allowBlank="1" showInputMessage="1" showErrorMessage="1" promptTitle="If FTE &lt; 1.0:" prompt="If Part-Time position - enter Y in this column_x000a__x000a_If Split Position - enter N in this column AND the Account Number(s) where balance of FTE will be paid from in column (T2)" sqref="AO9"/>
    <dataValidation allowBlank="1" showInputMessage="1" showErrorMessage="1" promptTitle="Position Eliminated?" prompt="When the position is budgeted This FY but not Next FY:_x000a__x000a_- If  the Position is ELIMINATED:  Enter &quot;Y&quot; in this column _x000a__x000a_- If the position will TRANSFER to another account:  Enter &quot;N&quot; in this column and the Transfer To ACCOUNT NUMBER in column (T4)" sqref="AQ9"/>
    <dataValidation allowBlank="1" showInputMessage="1" showErrorMessage="1" promptTitle="New Position?" prompt="When the position is budgeted Next FY but not This FY :_x000a__x000a_- If a NEW position is requested :  Enter &quot;Y&quot; in this column_x000a__x000a_- If the position will TRANSFER from Another Account:  Enter 'N' in this column and the Transfer From ACCOUNT NUMBER in column (T6)" sqref="AS9"/>
    <dataValidation allowBlank="1" showInputMessage="1" showErrorMessage="1" promptTitle="Transfer In posiiton" prompt="When the position is paid from this account in Next FY but was paid from another account This FY:_x000a__x000a_Enter This FY ACCOUNT NUMBER number in this column" sqref="AT9"/>
    <dataValidation type="list" allowBlank="1" showInputMessage="1" showErrorMessage="1" sqref="V10:V109 AQ10:AQ109 AS10:AS109 H10:H109">
      <formula1>$BD$2:$BD$3</formula1>
    </dataValidation>
    <dataValidation allowBlank="1" showInputMessage="1" showErrorMessage="1" promptTitle="Total Fringe" prompt="On Total Salary amounts" sqref="AM9"/>
    <dataValidation allowBlank="1" showInputMessage="1" showErrorMessage="1" promptTitle="Total Salary Budget" prompt="Total Salary including Merit, plus Special Pay prorated for FTE and Pay Periods on this account_x000a_" sqref="AK9 R9"/>
    <dataValidation allowBlank="1" showInputMessage="1" showErrorMessage="1" promptTitle="Longevity" prompt="Enter Longevity amount expected to be paid in FY10. _x000a__x000a_Check the Employee Data file distributed to the Division or contact Rose Dawes in HR to verity the longevity amount." sqref="AJ9"/>
    <dataValidation allowBlank="1" showInputMessage="1" showErrorMessage="1" promptTitle="Calc Sal" prompt="Annual salary (before EPC adjustment) plus merit plus COLA" sqref="AH9:AI9"/>
    <dataValidation allowBlank="1" showInputMessage="1" showErrorMessage="1" promptTitle="Merit/Step Increase Date" prompt="This field must be completed._x000a__x000a_Enter the employee's merit date for FY18 in the range 07/01/17 through 06/30/18._x000a__x000a_Enter 07/01/18 if no merit is due next fiscal year." sqref="AD8 F8"/>
    <dataValidation allowBlank="1" showInputMessage="1" showErrorMessage="1" promptTitle="Merit Amount" prompt="Annual Merit at 1.0 FTE calculated based on merit date entered_x000a__x000a_Total Salary includs merit prorated for FTE and Pay Periods" sqref="AF9:AG9"/>
    <dataValidation allowBlank="1" showInputMessage="1" showErrorMessage="1" promptTitle="Total Annual Salary" prompt="Adds annualized base salary + annualized 5% special pay " sqref="AC9"/>
    <dataValidation allowBlank="1" showInputMessage="1" showErrorMessage="1" prompt="Please list first name and last name." sqref="H114:I114"/>
    <dataValidation allowBlank="1" showInputMessage="1" showErrorMessage="1" promptTitle="Special Pay" prompt="If employee receives Special Pay, enter 'I' or 'II' in column G:_x000a_Bilingual Skills_x000a_Shift Differential" sqref="AB9"/>
    <dataValidation allowBlank="1" showInputMessage="1" showErrorMessage="1" promptTitle="Fringe Adjustments" prompt="Use this cell if fringe adjustments are necessary to reconcile to Date Warehouse Balance and Activity Report total Expenditures plus Encumbrances." sqref="D114"/>
    <dataValidation allowBlank="1" showInputMessage="1" showErrorMessage="1" prompt="Enter grade and step using four digits separated by a dash (e.g., 23-01, 21-08)." sqref="Z10:Z109 E10:E109 G10:G109"/>
    <dataValidation allowBlank="1" showInputMessage="1" showErrorMessage="1" promptTitle="Base Salary" prompt="Current Year Annual salary per contract, plus any Special Pay.  Adjusted for employees on Employer Paid Retirement plan." sqref="P9"/>
    <dataValidation allowBlank="1" showInputMessage="1" showErrorMessage="1" promptTitle="Pay Periods" prompt="Number of bi-monthly Pay periods that the position is projected to be filled next fiscal year." sqref="Y9"/>
    <dataValidation allowBlank="1" showInputMessage="1" showErrorMessage="1" promptTitle="Annual Salary" prompt="Looks up annual salary on 'Compsch' sheet for Grade-Step entered" sqref="AA9"/>
    <dataValidation allowBlank="1" showInputMessage="1" showErrorMessage="1" promptTitle="Total Salary" prompt="Bi-weekly Base Salary plus Special Pay,_x000a_X number of Pay Periods,_x000a_X FTE,_x000a_=Total Salary_x000a__x000a_Verify to Employee Payroll Report" sqref="Q9"/>
    <dataValidation allowBlank="1" showInputMessage="1" showErrorMessage="1" promptTitle="Other Fringe" prompt="If EPR, higher fringe, if not lower fringe; excluding WC." sqref="S9"/>
    <dataValidation allowBlank="1" showInputMessage="1" showErrorMessage="1" promptTitle="Grade Step" prompt="Enter the grade step that the employee will be at on 7/1_x000a_XX-XX format." sqref="Z9"/>
    <dataValidation allowBlank="1" showInputMessage="1" showErrorMessage="1" promptTitle="Pay Periods" prompt="Number of bi-monthly Pay periods that position is projected to be filled during the current fiscal year." sqref="M9"/>
    <dataValidation allowBlank="1" showInputMessage="1" showErrorMessage="1" promptTitle="Base Salary" prompt="Annual Contract Amount per Employment Document:_x000a_For part-time positions, adjust the salary to it's full time equivalent amount." sqref="N9"/>
    <dataValidation allowBlank="1" showInputMessage="1" showErrorMessage="1" promptTitle="Special Pay" prompt="If employee receives 5% special pay, enter 'Y' in column G:_x000a_Bilingual Skills_x000a_Supervisory Duties_x000a_Shift Differential" sqref="O9"/>
    <dataValidation allowBlank="1" showInputMessage="1" showErrorMessage="1" promptTitle="EPC" prompt="If employee is on the Employer-Paid Retirement Contribution (EPC) option, enter &quot;Y&quot; in this cell. Salary will be reduced by the EPC factor and Retirement benefits will be calculated at the higher EPC rate.  _x000a__x000a_For non-EPC employees, leave this cell blank." sqref="H9"/>
    <dataValidation allowBlank="1" showInputMessage="1" showErrorMessage="1" promptTitle="Special Pay" prompt="If employee receives 5% Special Pay(s), select &quot;I&quot; or &quot;II&quot; based on Special Pay received in this cell. 5% of Base Salary for each Special Pay will be calculated in column L for current FY and column AA for next FY._x000a__x000a_Otherwise, leave blank." sqref="I9"/>
    <dataValidation allowBlank="1" showInputMessage="1" showErrorMessage="1" promptTitle="FTE" prompt="Enter portion of 1.0 Full Time Equivalent that employee is paid from this account.  " sqref="K9:L9 W9"/>
    <dataValidation allowBlank="1" showInputMessage="1" showErrorMessage="1" promptTitle="New Hire:" prompt="If this will be a new hire in the next fiscal year enter 'Y' in this field.  For existing employees, including employees transferring from other accounts, leave blank." sqref="V9"/>
    <dataValidation allowBlank="1" showInputMessage="1" showErrorMessage="1" promptTitle="FTE" prompt="Enter portion of 1.0 Full Time Equivalent that employee will be paid from this account.  _x000a__x000a_For less than 1.0 FTE, note if the position is part time or enter the account number(s) where the remaining FTE will be paid from in the Personnel Tracking column." sqref="X9"/>
    <dataValidation allowBlank="1" showInputMessage="1" showErrorMessage="1" promptTitle="Position Number" prompt="1. List ALL positions currently budgeted to the account per the Data Warehouse POSITION SUMMARY REPORT._x000a__x000a_2. If a new position is requested, enter 'NEW' in this field." sqref="B9"/>
    <dataValidation allowBlank="1" showInputMessage="1" showErrorMessage="1" promptTitle="Position Title" prompt="List OFFICIAL POSITION TITLE per PDQ/Data Warehouse." sqref="C9"/>
    <dataValidation allowBlank="1" showInputMessage="1" showErrorMessage="1" promptTitle="Salary Savings Reassignments" prompt="Line out position budget above as normal, then show a negative adjustment for the salary (Cell S119) and fringe (Cell X119) amounts paid from a state account This FY." sqref="C112"/>
    <dataValidation type="list" allowBlank="1" showErrorMessage="1" error="Please use drop down to select Special Pay." prompt="Please use drop down to select Special Pay." sqref="I10:I109">
      <formula1>$BE$2:$BE$5</formula1>
    </dataValidation>
    <dataValidation showInputMessage="1" showErrorMessage="1" errorTitle="Date Outside FY" error="Date entered does not fall within the upcoming budget fiscal year. Please correct and enter valid date of record for employee." sqref="AD10:AD110"/>
    <dataValidation allowBlank="1" showInputMessage="1" showErrorMessage="1" promptTitle="Merit Amount" prompt="Annual Merit at 1.0 FTE calculated based on merit date entered_x000a__x000a_Total Salary includes merit prorated for FTE and Pay Periods" sqref="AE9"/>
    <dataValidation allowBlank="1" showInputMessage="1" showErrorMessage="1" promptTitle="Merit/Step Increase Date" prompt="This field must be completed._x000a__x000a_Enter the employee's merit date for FY19 in the range 07/01/18 through 06/30/19._x000a__x000a_Enter 07/01/19 if no merit is due next fiscal year." sqref="AD9"/>
    <dataValidation allowBlank="1" showInputMessage="1" showErrorMessage="1" promptTitle="Temporary Grant Funding" prompt="Grant positions where funding is not yet in place, so a self-supporting account will be used until the time when funding has been received._x000a_Amounts are carried over from E2 GRANT form. " sqref="C113"/>
    <dataValidation type="list" allowBlank="1" showInputMessage="1" showErrorMessage="1" sqref="AO10:AO109">
      <formula1>$BF$2:$BF$4</formula1>
    </dataValidation>
    <dataValidation allowBlank="1" showInputMessage="1" showErrorMessage="1" promptTitle="Employee Names" prompt="One line per Position Number.  List ALL EMPLOYEES in the position this FY and enter the total combined Pay Periods to calculate the Projected Actual total position expense for this FY._x000a__x000a_Use the highest Base Salary and prorate the pay periods if necessary" sqref="D9"/>
    <dataValidation type="custom" allowBlank="1" showInputMessage="1" showErrorMessage="1" error="Must use DD/MM/YYYY Format" prompt="Enter grade and step using four digits separated by a dash (e.g., 23-01, 21-08)." sqref="F10:F109">
      <formula1>AND(ISNUMBER(F10),LEFT(CELL("format",F10),1)="D")</formula1>
    </dataValidation>
    <dataValidation allowBlank="1" showInputMessage="1" showErrorMessage="1" promptTitle="Merit/Step Increase Date" prompt="This field must be completed._x000a__x000a_Enter the employee's merit date for FY20 in the range 07/01/19 through 06/30/20._x000a__x000a_Enter 07/01/21 if no merit is due next fiscal year." sqref="F9"/>
  </dataValidations>
  <printOptions horizontalCentered="1"/>
  <pageMargins left="0" right="0" top="0.5" bottom="0.5" header="0.5" footer="0.5"/>
  <pageSetup scale="47" fitToHeight="10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AR153"/>
  <sheetViews>
    <sheetView zoomScale="89" zoomScaleNormal="89" workbookViewId="0">
      <pane xSplit="8" ySplit="9" topLeftCell="I10" activePane="bottomRight" state="frozen"/>
      <selection activeCell="N6" sqref="N6"/>
      <selection pane="topRight" activeCell="N6" sqref="N6"/>
      <selection pane="bottomLeft" activeCell="N6" sqref="N6"/>
      <selection pane="bottomRight" activeCell="I1" sqref="I1"/>
    </sheetView>
  </sheetViews>
  <sheetFormatPr defaultColWidth="5.85546875" defaultRowHeight="12" x14ac:dyDescent="0.2"/>
  <cols>
    <col min="1" max="1" width="4" style="69" bestFit="1" customWidth="1"/>
    <col min="2" max="2" width="9.140625" style="69" customWidth="1"/>
    <col min="3" max="3" width="35" style="69" customWidth="1"/>
    <col min="4" max="4" width="37.7109375" style="69" customWidth="1"/>
    <col min="5" max="5" width="7.85546875" style="69" hidden="1" customWidth="1"/>
    <col min="6" max="6" width="7.140625" style="69" hidden="1" customWidth="1"/>
    <col min="7" max="7" width="7.7109375" style="69" customWidth="1"/>
    <col min="8" max="8" width="1" style="69" customWidth="1"/>
    <col min="9" max="9" width="5.85546875" style="69" customWidth="1"/>
    <col min="10" max="10" width="9" style="69" hidden="1" customWidth="1"/>
    <col min="11" max="11" width="7.42578125" style="69" customWidth="1"/>
    <col min="12" max="12" width="8.5703125" style="69" customWidth="1"/>
    <col min="13" max="13" width="8.42578125" style="779" bestFit="1" customWidth="1"/>
    <col min="14" max="14" width="10.5703125" style="69" customWidth="1"/>
    <col min="15" max="15" width="9.5703125" style="69" customWidth="1"/>
    <col min="16" max="16" width="7.85546875" style="69" hidden="1" customWidth="1"/>
    <col min="17" max="17" width="10.42578125" style="69" customWidth="1"/>
    <col min="18" max="18" width="9.140625" style="69" customWidth="1"/>
    <col min="19" max="19" width="9.28515625" style="69" bestFit="1" customWidth="1"/>
    <col min="20" max="20" width="8.42578125" style="69" hidden="1" customWidth="1"/>
    <col min="21" max="21" width="11" style="69" hidden="1" customWidth="1"/>
    <col min="22" max="22" width="8.140625" style="69" hidden="1" customWidth="1"/>
    <col min="23" max="23" width="11.28515625" style="69" hidden="1" customWidth="1"/>
    <col min="24" max="24" width="11.28515625" style="69" customWidth="1"/>
    <col min="25" max="25" width="7.28515625" style="69" hidden="1" customWidth="1"/>
    <col min="26" max="26" width="12.5703125" style="69" customWidth="1"/>
    <col min="27" max="27" width="5.85546875" style="69"/>
    <col min="28" max="28" width="19.7109375" style="35" customWidth="1"/>
    <col min="29" max="29" width="21.7109375" style="1166" customWidth="1"/>
    <col min="30" max="39" width="5.85546875" style="69"/>
    <col min="40" max="40" width="1.42578125" style="69" customWidth="1"/>
    <col min="41" max="41" width="18.7109375" style="69" hidden="1" customWidth="1"/>
    <col min="42" max="42" width="5.85546875" style="69" hidden="1" customWidth="1"/>
    <col min="43" max="43" width="9.5703125" style="35" hidden="1" customWidth="1"/>
    <col min="44" max="44" width="5.85546875" style="69" customWidth="1" collapsed="1"/>
    <col min="45" max="45" width="5.85546875" style="69" customWidth="1"/>
    <col min="46" max="16384" width="5.85546875" style="69"/>
  </cols>
  <sheetData>
    <row r="1" spans="1:43" s="334" customFormat="1" ht="13.5" thickBot="1" x14ac:dyDescent="0.25">
      <c r="A1" s="999"/>
      <c r="B1" s="942" t="str">
        <f>'SUMMARY FORM'!A2</f>
        <v>FY21 SELF-SUPPORTING BUDGET REQUEST</v>
      </c>
      <c r="C1" s="1000"/>
      <c r="D1" s="942"/>
      <c r="E1" s="108"/>
      <c r="F1" s="1000"/>
      <c r="G1" s="1000"/>
      <c r="H1" s="1000"/>
      <c r="I1" s="1000"/>
      <c r="J1" s="1000"/>
      <c r="K1" s="1000"/>
      <c r="L1" s="1000"/>
      <c r="M1" s="1001"/>
      <c r="N1" s="1000"/>
      <c r="O1" s="1000"/>
      <c r="P1" s="1000"/>
      <c r="Q1" s="1000"/>
      <c r="R1" s="1000"/>
      <c r="S1" s="1000"/>
      <c r="T1" s="1000"/>
      <c r="U1" s="1000"/>
      <c r="V1" s="1000"/>
      <c r="W1" s="1000"/>
      <c r="X1" s="1000"/>
      <c r="Y1" s="1002"/>
      <c r="Z1" s="422" t="s">
        <v>1098</v>
      </c>
      <c r="AB1" s="941"/>
      <c r="AC1" s="1161"/>
      <c r="AN1" s="1003"/>
      <c r="AO1" s="334" t="s">
        <v>645</v>
      </c>
      <c r="AP1" s="382" t="s">
        <v>909</v>
      </c>
      <c r="AQ1" s="382" t="s">
        <v>646</v>
      </c>
    </row>
    <row r="2" spans="1:43" ht="12.75" customHeight="1" x14ac:dyDescent="0.2">
      <c r="A2" s="63"/>
      <c r="D2" s="63"/>
      <c r="E2" s="63"/>
      <c r="F2" s="63"/>
      <c r="G2" s="63"/>
      <c r="H2" s="111"/>
      <c r="I2" s="112"/>
      <c r="J2" s="112"/>
      <c r="K2" s="112"/>
      <c r="L2" s="112"/>
      <c r="M2" s="778"/>
      <c r="N2" s="63"/>
      <c r="O2" s="63"/>
      <c r="P2" s="63"/>
      <c r="Q2" s="63"/>
      <c r="R2" s="63"/>
      <c r="S2" s="63"/>
      <c r="T2" s="63"/>
      <c r="U2" s="63"/>
      <c r="V2" s="63"/>
      <c r="W2" s="63"/>
      <c r="X2"/>
      <c r="Y2"/>
      <c r="Z2"/>
      <c r="AB2" s="38"/>
      <c r="AC2" s="1162"/>
      <c r="AN2" s="609"/>
      <c r="AO2" s="335" t="s">
        <v>632</v>
      </c>
      <c r="AP2" s="35"/>
      <c r="AQ2" s="383"/>
    </row>
    <row r="3" spans="1:43" ht="12.75" customHeight="1" x14ac:dyDescent="0.2">
      <c r="A3" s="112"/>
      <c r="C3" s="375" t="s">
        <v>641</v>
      </c>
      <c r="D3" s="1004" t="str">
        <f>'SUMMARY FORM'!AF2</f>
        <v>0  0  0  NEW</v>
      </c>
      <c r="E3"/>
      <c r="F3" s="63"/>
      <c r="G3" s="63"/>
      <c r="H3" s="111"/>
      <c r="I3" s="1350" t="str">
        <f>IF(J111=K111,"","Note: An FTE is more than two decimal places. Please adjust all FTEs to be two decimal places in length.")</f>
        <v/>
      </c>
      <c r="J3" s="1350"/>
      <c r="K3" s="1350"/>
      <c r="L3" s="1350"/>
      <c r="M3" s="1350"/>
      <c r="N3" s="1350"/>
      <c r="O3" s="1350"/>
      <c r="P3" s="1350"/>
      <c r="Q3" s="1350"/>
      <c r="R3" s="1350"/>
      <c r="S3" s="1350"/>
      <c r="T3" s="1350"/>
      <c r="U3" s="1350"/>
      <c r="V3" s="1350"/>
      <c r="W3" s="1350"/>
      <c r="X3" s="1350"/>
      <c r="Y3" s="1350"/>
      <c r="Z3" s="1350"/>
      <c r="AB3" s="38"/>
      <c r="AC3" s="1162"/>
      <c r="AN3" s="609"/>
      <c r="AO3" s="383" t="s">
        <v>639</v>
      </c>
      <c r="AP3" s="35" t="s">
        <v>1064</v>
      </c>
      <c r="AQ3" s="383" t="s">
        <v>632</v>
      </c>
    </row>
    <row r="4" spans="1:43" ht="12.75" customHeight="1" x14ac:dyDescent="0.2">
      <c r="A4" s="112"/>
      <c r="B4"/>
      <c r="C4"/>
      <c r="D4"/>
      <c r="E4"/>
      <c r="F4" s="63"/>
      <c r="G4" s="63"/>
      <c r="H4" s="111"/>
      <c r="I4" s="1351"/>
      <c r="J4" s="1351"/>
      <c r="K4" s="1351"/>
      <c r="L4" s="1351"/>
      <c r="M4" s="1351"/>
      <c r="N4" s="1351"/>
      <c r="O4" s="1351"/>
      <c r="P4" s="1351"/>
      <c r="Q4" s="1351"/>
      <c r="R4" s="1351"/>
      <c r="S4" s="1351"/>
      <c r="T4" s="1351"/>
      <c r="U4" s="1351"/>
      <c r="V4" s="1351"/>
      <c r="W4" s="1351"/>
      <c r="X4" s="1351"/>
      <c r="Y4" s="1351"/>
      <c r="Z4" s="1351"/>
      <c r="AB4" s="38"/>
      <c r="AC4" s="1162"/>
      <c r="AN4" s="609"/>
      <c r="AO4" s="35"/>
      <c r="AP4" s="35" t="s">
        <v>1065</v>
      </c>
      <c r="AQ4" s="383" t="s">
        <v>639</v>
      </c>
    </row>
    <row r="5" spans="1:43" s="637" customFormat="1" ht="15.75" x14ac:dyDescent="0.25">
      <c r="A5" s="649"/>
      <c r="B5" s="1421" t="str">
        <f>'SUMMARY FORM'!N15&amp;" New Classified Position Requests"</f>
        <v>FY21 New Classified Position Requests</v>
      </c>
      <c r="C5" s="1422"/>
      <c r="D5" s="1422"/>
      <c r="E5" s="1422"/>
      <c r="F5" s="1422"/>
      <c r="G5" s="1423"/>
      <c r="H5" s="650"/>
      <c r="I5" s="1393" t="str">
        <f>'FORM E1'!S5</f>
        <v xml:space="preserve">FY21 BUDGET </v>
      </c>
      <c r="J5" s="1394"/>
      <c r="K5" s="1395"/>
      <c r="L5" s="1394"/>
      <c r="M5" s="1394"/>
      <c r="N5" s="1394"/>
      <c r="O5" s="1394"/>
      <c r="P5" s="1394"/>
      <c r="Q5" s="1394"/>
      <c r="R5" s="1394"/>
      <c r="S5" s="1394"/>
      <c r="T5" s="1394"/>
      <c r="U5" s="1394"/>
      <c r="V5" s="1394"/>
      <c r="W5" s="1394"/>
      <c r="X5" s="1394"/>
      <c r="Y5" s="1394"/>
      <c r="Z5" s="1396"/>
      <c r="AB5" s="1005" t="s">
        <v>889</v>
      </c>
      <c r="AC5" s="1156"/>
      <c r="AN5" s="652"/>
      <c r="AP5" s="35" t="s">
        <v>1066</v>
      </c>
      <c r="AQ5" s="638"/>
    </row>
    <row r="6" spans="1:43" ht="12.75" customHeight="1" x14ac:dyDescent="0.2">
      <c r="A6" s="112"/>
      <c r="B6" s="71" t="s">
        <v>2</v>
      </c>
      <c r="C6" s="332" t="s">
        <v>3</v>
      </c>
      <c r="D6" s="332" t="s">
        <v>4</v>
      </c>
      <c r="E6" s="332" t="s">
        <v>644</v>
      </c>
      <c r="F6" s="1006" t="s">
        <v>6</v>
      </c>
      <c r="G6" s="1006" t="s">
        <v>8</v>
      </c>
      <c r="H6" s="111"/>
      <c r="I6" s="1006" t="s">
        <v>12</v>
      </c>
      <c r="J6" s="42"/>
      <c r="K6" s="42" t="s">
        <v>13</v>
      </c>
      <c r="L6" s="1006" t="s">
        <v>14</v>
      </c>
      <c r="M6" s="780" t="s">
        <v>636</v>
      </c>
      <c r="N6" s="75"/>
      <c r="O6" s="75"/>
      <c r="P6" s="74"/>
      <c r="Q6" s="1007" t="s">
        <v>3902</v>
      </c>
      <c r="R6" s="1008"/>
      <c r="S6" s="515"/>
      <c r="T6" s="515"/>
      <c r="U6" s="515"/>
      <c r="V6" s="74"/>
      <c r="W6" s="76" t="s">
        <v>1</v>
      </c>
      <c r="X6" s="76"/>
      <c r="Y6" s="74"/>
      <c r="Z6" s="74"/>
      <c r="AB6" s="42" t="s">
        <v>685</v>
      </c>
      <c r="AC6" s="42" t="s">
        <v>686</v>
      </c>
      <c r="AN6" s="609"/>
    </row>
    <row r="7" spans="1:43" ht="12.75" customHeight="1" x14ac:dyDescent="0.2">
      <c r="A7" s="112"/>
      <c r="B7" s="1009"/>
      <c r="C7" s="1010"/>
      <c r="D7" s="1010"/>
      <c r="E7" s="1009" t="s">
        <v>634</v>
      </c>
      <c r="F7" s="1010"/>
      <c r="G7" s="1011">
        <v>0.05</v>
      </c>
      <c r="H7" s="344"/>
      <c r="I7" s="1012" t="s">
        <v>350</v>
      </c>
      <c r="J7" s="1121"/>
      <c r="K7" s="955"/>
      <c r="L7" s="1013" t="s">
        <v>592</v>
      </c>
      <c r="M7" s="1014" t="s">
        <v>635</v>
      </c>
      <c r="N7" s="1015" t="str">
        <f>'SUMMARY FORM'!N15</f>
        <v>FY21</v>
      </c>
      <c r="O7" s="1015" t="str">
        <f>'SUMMARY FORM'!N15</f>
        <v>FY21</v>
      </c>
      <c r="P7" s="1016" t="str">
        <f>'SUMMARY FORM'!N15</f>
        <v>FY21</v>
      </c>
      <c r="Q7" s="1397" t="s">
        <v>849</v>
      </c>
      <c r="R7" s="1397"/>
      <c r="S7" s="1397"/>
      <c r="T7" s="1397"/>
      <c r="U7" s="666"/>
      <c r="V7" s="666"/>
      <c r="W7" s="677"/>
      <c r="X7" s="1017" t="str">
        <f>O7</f>
        <v>FY21</v>
      </c>
      <c r="Y7" s="957" t="s">
        <v>18</v>
      </c>
      <c r="Z7" s="959" t="str">
        <f>X7</f>
        <v>FY21</v>
      </c>
      <c r="AB7" s="958" t="s">
        <v>628</v>
      </c>
      <c r="AC7" s="958" t="s">
        <v>630</v>
      </c>
      <c r="AN7" s="609"/>
    </row>
    <row r="8" spans="1:43" ht="12.75" customHeight="1" x14ac:dyDescent="0.2">
      <c r="A8" s="112"/>
      <c r="B8" s="1018" t="s">
        <v>244</v>
      </c>
      <c r="C8" s="1019"/>
      <c r="D8" s="1019" t="s">
        <v>0</v>
      </c>
      <c r="E8" s="1018" t="s">
        <v>571</v>
      </c>
      <c r="F8" s="1019"/>
      <c r="G8" s="1019" t="s">
        <v>627</v>
      </c>
      <c r="H8" s="344"/>
      <c r="I8" s="121" t="s">
        <v>274</v>
      </c>
      <c r="J8" s="1122" t="s">
        <v>3866</v>
      </c>
      <c r="K8" s="966"/>
      <c r="L8" s="41" t="s">
        <v>345</v>
      </c>
      <c r="M8" s="782" t="s">
        <v>571</v>
      </c>
      <c r="N8" s="357" t="s">
        <v>20</v>
      </c>
      <c r="O8" s="357" t="s">
        <v>626</v>
      </c>
      <c r="P8" s="661" t="s">
        <v>330</v>
      </c>
      <c r="Q8" s="1020" t="s">
        <v>850</v>
      </c>
      <c r="R8" s="604" t="s">
        <v>852</v>
      </c>
      <c r="S8" s="596" t="s">
        <v>859</v>
      </c>
      <c r="T8" s="663" t="s">
        <v>852</v>
      </c>
      <c r="U8" s="1021" t="s">
        <v>349</v>
      </c>
      <c r="V8" s="1021" t="s">
        <v>366</v>
      </c>
      <c r="W8" s="1022"/>
      <c r="X8" s="358" t="s">
        <v>330</v>
      </c>
      <c r="Y8" s="642" t="s">
        <v>1202</v>
      </c>
      <c r="Z8" s="1023" t="s">
        <v>330</v>
      </c>
      <c r="AB8" s="474" t="s">
        <v>629</v>
      </c>
      <c r="AC8" s="474" t="s">
        <v>244</v>
      </c>
      <c r="AN8" s="609"/>
      <c r="AQ8" s="496"/>
    </row>
    <row r="9" spans="1:43" ht="12.75" customHeight="1" x14ac:dyDescent="0.2">
      <c r="A9" s="112"/>
      <c r="B9" s="1024" t="s">
        <v>15</v>
      </c>
      <c r="C9" s="1025" t="s">
        <v>16</v>
      </c>
      <c r="D9" s="48" t="s">
        <v>3859</v>
      </c>
      <c r="E9" s="1024" t="s">
        <v>572</v>
      </c>
      <c r="F9" s="977" t="s">
        <v>579</v>
      </c>
      <c r="G9" s="977" t="s">
        <v>345</v>
      </c>
      <c r="H9" s="344"/>
      <c r="I9" s="121" t="str">
        <f>'SUMMARY FORM'!N15</f>
        <v>FY21</v>
      </c>
      <c r="J9" s="1123" t="s">
        <v>243</v>
      </c>
      <c r="K9" s="977" t="s">
        <v>243</v>
      </c>
      <c r="L9" s="41" t="s">
        <v>591</v>
      </c>
      <c r="M9" s="783" t="s">
        <v>572</v>
      </c>
      <c r="N9" s="357" t="s">
        <v>245</v>
      </c>
      <c r="O9" s="357" t="s">
        <v>345</v>
      </c>
      <c r="P9" s="661" t="s">
        <v>245</v>
      </c>
      <c r="Q9" s="1026" t="s">
        <v>851</v>
      </c>
      <c r="R9" s="1027" t="s">
        <v>910</v>
      </c>
      <c r="S9" s="596" t="s">
        <v>860</v>
      </c>
      <c r="T9" s="1028" t="s">
        <v>351</v>
      </c>
      <c r="U9" s="1029" t="s">
        <v>20</v>
      </c>
      <c r="V9" s="1029" t="s">
        <v>245</v>
      </c>
      <c r="W9" s="1030" t="s">
        <v>247</v>
      </c>
      <c r="X9" s="358" t="s">
        <v>245</v>
      </c>
      <c r="Y9" s="984">
        <f>Rates!I384</f>
        <v>0.435</v>
      </c>
      <c r="Z9" s="1023" t="s">
        <v>19</v>
      </c>
      <c r="AB9" s="978" t="s">
        <v>244</v>
      </c>
      <c r="AC9" s="978" t="s">
        <v>631</v>
      </c>
      <c r="AN9" s="609"/>
      <c r="AQ9" s="496"/>
    </row>
    <row r="10" spans="1:43" ht="26.25" customHeight="1" x14ac:dyDescent="0.2">
      <c r="A10" s="37">
        <v>1</v>
      </c>
      <c r="B10" s="1031"/>
      <c r="C10" s="1032"/>
      <c r="D10" s="1033"/>
      <c r="E10" s="1034"/>
      <c r="F10" s="1035"/>
      <c r="G10" s="1035"/>
      <c r="H10" s="70"/>
      <c r="I10" s="1037" t="s">
        <v>632</v>
      </c>
      <c r="J10" s="1124">
        <f t="shared" ref="J10:J48" si="0">ROUND(K10,2)</f>
        <v>0</v>
      </c>
      <c r="K10" s="1125"/>
      <c r="L10" s="1036"/>
      <c r="M10" s="1034"/>
      <c r="N10" s="1038">
        <f>IF(M10="",0,ROUND(VLOOKUP(M10,Compsch!$A$10:$B$509,2),2))</f>
        <v>0</v>
      </c>
      <c r="O10" s="1038">
        <f t="shared" ref="O10:O41" si="1">N10*IF(G10="Both",0.05*2,IF(G10="",0,0.05))</f>
        <v>0</v>
      </c>
      <c r="P10" s="1038">
        <f>N10+O10</f>
        <v>0</v>
      </c>
      <c r="Q10" s="1039">
        <v>44378</v>
      </c>
      <c r="R10" s="1040">
        <f>IFERROR(IF(Q10="",0,ROUND((VLOOKUP(M10,Compsch!$A$11:$I$390,9)-(VLOOKUP(M10,Compsch!$A$11:$I$390,7)))*(VLOOKUP(Q10,MeritSch!$A$5:$B$370,2)),0)),0)</f>
        <v>0</v>
      </c>
      <c r="S10" s="1038">
        <f t="shared" ref="S10:S41" si="2">R10*IF(G10="Both",0.05*2,IF(G10="",0,0.05))*(I10&lt;&gt;"Y")</f>
        <v>0</v>
      </c>
      <c r="T10" s="1041">
        <f>R10+S10</f>
        <v>0</v>
      </c>
      <c r="U10" s="989">
        <f>IF(F10="y",((((N10+O10+T10)*J10)*Rates!$I$379))/24,(((N10+O10+T10)*J10)/24))</f>
        <v>0</v>
      </c>
      <c r="V10" s="1042" t="b">
        <f>IF(AND(N10=""),0,IF(AND(N10&gt;0),(((P10+T10)/24)*L10*J10)))</f>
        <v>0</v>
      </c>
      <c r="W10" s="1043"/>
      <c r="X10" s="990">
        <f>IF(F10="y",(V10*Rates!$I$379+W10),(V10+W10))</f>
        <v>0</v>
      </c>
      <c r="Y10" s="1038">
        <f>X10*$Y$9</f>
        <v>0</v>
      </c>
      <c r="Z10" s="1044">
        <f>SUM(Y10:Y10)</f>
        <v>0</v>
      </c>
      <c r="AB10" s="987"/>
      <c r="AC10" s="808"/>
    </row>
    <row r="11" spans="1:43" ht="26.25" customHeight="1" x14ac:dyDescent="0.2">
      <c r="A11" s="37">
        <v>2</v>
      </c>
      <c r="B11" s="1031"/>
      <c r="C11" s="1032"/>
      <c r="D11" s="808"/>
      <c r="E11" s="1034"/>
      <c r="F11" s="1035"/>
      <c r="G11" s="1035"/>
      <c r="H11" s="70"/>
      <c r="I11" s="1037" t="s">
        <v>632</v>
      </c>
      <c r="J11" s="1124">
        <f t="shared" si="0"/>
        <v>0</v>
      </c>
      <c r="K11" s="1125"/>
      <c r="L11" s="1036"/>
      <c r="M11" s="1034"/>
      <c r="N11" s="1038">
        <f>IF(M11="",0,ROUND(VLOOKUP(M11,Compsch!$A$10:$B$509,2),2))</f>
        <v>0</v>
      </c>
      <c r="O11" s="1038">
        <f t="shared" si="1"/>
        <v>0</v>
      </c>
      <c r="P11" s="1038">
        <f t="shared" ref="P11:P73" si="3">N11+O11</f>
        <v>0</v>
      </c>
      <c r="Q11" s="1039">
        <v>44378</v>
      </c>
      <c r="R11" s="1040">
        <f>IFERROR(IF(Q11="",0,ROUND((VLOOKUP(M11,Compsch!$A$11:$I$390,9)-(VLOOKUP(M11,Compsch!$A$11:$I$390,7)))*(VLOOKUP(Q11,MeritSch!$A$5:$B$370,2)),0)),0)</f>
        <v>0</v>
      </c>
      <c r="S11" s="1038">
        <f t="shared" si="2"/>
        <v>0</v>
      </c>
      <c r="T11" s="1041">
        <f t="shared" ref="T11:T74" si="4">R11+S11</f>
        <v>0</v>
      </c>
      <c r="U11" s="989">
        <f>IF(F11="y",((((N11+O11+T11)*J11)*Rates!$I$379))/24,(((N11+O11+T11)*J11)/24))</f>
        <v>0</v>
      </c>
      <c r="V11" s="1042" t="b">
        <f t="shared" ref="V11:V73" si="5">IF(AND(N11=""),0,IF(AND(N11&gt;0),(((P11+T11)/24)*L11*J11)))</f>
        <v>0</v>
      </c>
      <c r="W11" s="1043"/>
      <c r="X11" s="990">
        <f>IF(F11="y",(V11*Rates!$I$379+W11),(V11+W11))</f>
        <v>0</v>
      </c>
      <c r="Y11" s="1038">
        <f t="shared" ref="Y11:Y19" si="6">X11*$Y$9</f>
        <v>0</v>
      </c>
      <c r="Z11" s="1044">
        <f t="shared" ref="Z11:Z41" si="7">SUM(Y11:Y11)</f>
        <v>0</v>
      </c>
      <c r="AB11" s="987"/>
      <c r="AC11" s="808"/>
    </row>
    <row r="12" spans="1:43" ht="26.25" customHeight="1" x14ac:dyDescent="0.2">
      <c r="A12" s="37">
        <v>3</v>
      </c>
      <c r="B12" s="1031"/>
      <c r="C12" s="1032"/>
      <c r="D12" s="808"/>
      <c r="E12" s="1034"/>
      <c r="F12" s="1035"/>
      <c r="G12" s="1035"/>
      <c r="H12" s="70"/>
      <c r="I12" s="1037" t="s">
        <v>632</v>
      </c>
      <c r="J12" s="1124">
        <f t="shared" si="0"/>
        <v>0</v>
      </c>
      <c r="K12" s="1125"/>
      <c r="L12" s="1036"/>
      <c r="M12" s="1034"/>
      <c r="N12" s="1038">
        <f>IF(M12="",0,ROUND(VLOOKUP(M12,Compsch!$A$10:$B$509,2),2))</f>
        <v>0</v>
      </c>
      <c r="O12" s="1038">
        <f t="shared" si="1"/>
        <v>0</v>
      </c>
      <c r="P12" s="1038">
        <f t="shared" si="3"/>
        <v>0</v>
      </c>
      <c r="Q12" s="1039">
        <v>44378</v>
      </c>
      <c r="R12" s="1040">
        <f>IFERROR(IF(Q12="",0,ROUND((VLOOKUP(M12,Compsch!$A$11:$I$390,9)-(VLOOKUP(M12,Compsch!$A$11:$I$390,7)))*(VLOOKUP(Q12,MeritSch!$A$5:$B$370,2)),0)),0)</f>
        <v>0</v>
      </c>
      <c r="S12" s="1038">
        <f t="shared" si="2"/>
        <v>0</v>
      </c>
      <c r="T12" s="1041">
        <f t="shared" si="4"/>
        <v>0</v>
      </c>
      <c r="U12" s="989">
        <f>IF(F12="y",((((N12+O12+T12)*J12)*Rates!$I$379))/24,(((N12+O12+T12)*J12)/24))</f>
        <v>0</v>
      </c>
      <c r="V12" s="1042" t="b">
        <f t="shared" si="5"/>
        <v>0</v>
      </c>
      <c r="W12" s="1043"/>
      <c r="X12" s="990">
        <f>IF(F12="y",(V12*Rates!$I$379+W12),(V12+W12))</f>
        <v>0</v>
      </c>
      <c r="Y12" s="1038">
        <f t="shared" si="6"/>
        <v>0</v>
      </c>
      <c r="Z12" s="1044">
        <f t="shared" si="7"/>
        <v>0</v>
      </c>
      <c r="AB12" s="987"/>
      <c r="AC12" s="808"/>
    </row>
    <row r="13" spans="1:43" ht="26.25" customHeight="1" x14ac:dyDescent="0.2">
      <c r="A13" s="37">
        <v>4</v>
      </c>
      <c r="B13" s="1031"/>
      <c r="C13" s="1032"/>
      <c r="D13" s="1033"/>
      <c r="E13" s="1034"/>
      <c r="F13" s="1035"/>
      <c r="G13" s="1035"/>
      <c r="H13" s="70"/>
      <c r="I13" s="1037" t="s">
        <v>632</v>
      </c>
      <c r="J13" s="1124">
        <f t="shared" si="0"/>
        <v>0</v>
      </c>
      <c r="K13" s="1125"/>
      <c r="L13" s="1036"/>
      <c r="M13" s="1034"/>
      <c r="N13" s="1038">
        <f>IF(M13="",0,ROUND(VLOOKUP(M13,Compsch!$A$10:$B$509,2),2))</f>
        <v>0</v>
      </c>
      <c r="O13" s="1038">
        <f t="shared" si="1"/>
        <v>0</v>
      </c>
      <c r="P13" s="1038">
        <f t="shared" si="3"/>
        <v>0</v>
      </c>
      <c r="Q13" s="1039">
        <v>44378</v>
      </c>
      <c r="R13" s="1040">
        <f>IFERROR(IF(Q13="",0,ROUND((VLOOKUP(M13,Compsch!$A$11:$I$390,9)-(VLOOKUP(M13,Compsch!$A$11:$I$390,7)))*(VLOOKUP(Q13,MeritSch!$A$5:$B$370,2)),0)),0)</f>
        <v>0</v>
      </c>
      <c r="S13" s="1038">
        <f t="shared" si="2"/>
        <v>0</v>
      </c>
      <c r="T13" s="1041">
        <f t="shared" si="4"/>
        <v>0</v>
      </c>
      <c r="U13" s="989">
        <f>IF(F13="y",((((N13+O13+T13)*J13)*Rates!$I$379))/24,(((N13+O13+T13)*J13)/24))</f>
        <v>0</v>
      </c>
      <c r="V13" s="1042" t="b">
        <f t="shared" si="5"/>
        <v>0</v>
      </c>
      <c r="W13" s="1043"/>
      <c r="X13" s="990">
        <f>IF(F13="y",(V13*Rates!$I$379+W13),(V13+W13))</f>
        <v>0</v>
      </c>
      <c r="Y13" s="1038">
        <f t="shared" si="6"/>
        <v>0</v>
      </c>
      <c r="Z13" s="1044">
        <f t="shared" si="7"/>
        <v>0</v>
      </c>
      <c r="AB13" s="987"/>
      <c r="AC13" s="808"/>
    </row>
    <row r="14" spans="1:43" ht="26.25" customHeight="1" x14ac:dyDescent="0.2">
      <c r="A14" s="37">
        <v>5</v>
      </c>
      <c r="B14" s="1031"/>
      <c r="C14" s="1032"/>
      <c r="D14" s="1033"/>
      <c r="E14" s="1034"/>
      <c r="F14" s="1035"/>
      <c r="G14" s="1035"/>
      <c r="H14" s="70"/>
      <c r="I14" s="1037" t="s">
        <v>632</v>
      </c>
      <c r="J14" s="1124">
        <f t="shared" si="0"/>
        <v>0</v>
      </c>
      <c r="K14" s="1125"/>
      <c r="L14" s="1036"/>
      <c r="M14" s="1034"/>
      <c r="N14" s="1038">
        <f>IF(M14="",0,ROUND(VLOOKUP(M14,Compsch!$A$10:$B$509,2),2))</f>
        <v>0</v>
      </c>
      <c r="O14" s="1038">
        <f t="shared" si="1"/>
        <v>0</v>
      </c>
      <c r="P14" s="1038">
        <f t="shared" si="3"/>
        <v>0</v>
      </c>
      <c r="Q14" s="1039">
        <v>44378</v>
      </c>
      <c r="R14" s="1040">
        <f>IFERROR(IF(Q14="",0,ROUND((VLOOKUP(M14,Compsch!$A$11:$I$390,9)-(VLOOKUP(M14,Compsch!$A$11:$I$390,7)))*(VLOOKUP(Q14,MeritSch!$A$5:$B$370,2)),0)),0)</f>
        <v>0</v>
      </c>
      <c r="S14" s="1038">
        <f t="shared" si="2"/>
        <v>0</v>
      </c>
      <c r="T14" s="1041">
        <f t="shared" si="4"/>
        <v>0</v>
      </c>
      <c r="U14" s="989">
        <f>IF(F14="y",((((N14+O14+T14)*J14)*Rates!$I$379))/24,(((N14+O14+T14)*J14)/24))</f>
        <v>0</v>
      </c>
      <c r="V14" s="1042" t="b">
        <f t="shared" si="5"/>
        <v>0</v>
      </c>
      <c r="W14" s="1043"/>
      <c r="X14" s="990">
        <f>IF(F14="y",(V14*Rates!$I$379+W14),(V14+W14))</f>
        <v>0</v>
      </c>
      <c r="Y14" s="1038">
        <f t="shared" si="6"/>
        <v>0</v>
      </c>
      <c r="Z14" s="1044">
        <f t="shared" si="7"/>
        <v>0</v>
      </c>
      <c r="AB14" s="987"/>
      <c r="AC14" s="808"/>
    </row>
    <row r="15" spans="1:43" ht="27" customHeight="1" x14ac:dyDescent="0.2">
      <c r="A15" s="37">
        <v>6</v>
      </c>
      <c r="B15" s="1031"/>
      <c r="C15" s="1032"/>
      <c r="D15" s="1033"/>
      <c r="E15" s="1034"/>
      <c r="F15" s="1035"/>
      <c r="G15" s="1035"/>
      <c r="H15" s="70"/>
      <c r="I15" s="1037" t="s">
        <v>632</v>
      </c>
      <c r="J15" s="1124">
        <f t="shared" si="0"/>
        <v>0</v>
      </c>
      <c r="K15" s="1125"/>
      <c r="L15" s="1036"/>
      <c r="M15" s="1034"/>
      <c r="N15" s="1038">
        <f>IF(M15="",0,ROUND(VLOOKUP(M15,Compsch!$A$10:$B$509,2),2))</f>
        <v>0</v>
      </c>
      <c r="O15" s="1038">
        <f t="shared" si="1"/>
        <v>0</v>
      </c>
      <c r="P15" s="1038">
        <f t="shared" si="3"/>
        <v>0</v>
      </c>
      <c r="Q15" s="1039">
        <v>44378</v>
      </c>
      <c r="R15" s="1040">
        <f>IFERROR(IF(Q15="",0,ROUND((VLOOKUP(M15,Compsch!$A$11:$I$390,9)-(VLOOKUP(M15,Compsch!$A$11:$I$390,7)))*(VLOOKUP(Q15,MeritSch!$A$5:$B$370,2)),0)),0)</f>
        <v>0</v>
      </c>
      <c r="S15" s="1038">
        <f t="shared" si="2"/>
        <v>0</v>
      </c>
      <c r="T15" s="1041">
        <f t="shared" si="4"/>
        <v>0</v>
      </c>
      <c r="U15" s="989">
        <f>IF(F15="y",((((N15+O15+T15)*J15)*Rates!$I$379))/24,(((N15+O15+T15)*J15)/24))</f>
        <v>0</v>
      </c>
      <c r="V15" s="1042" t="b">
        <f t="shared" si="5"/>
        <v>0</v>
      </c>
      <c r="W15" s="1043"/>
      <c r="X15" s="990">
        <f>IF(F15="y",(V15*Rates!$I$379+W15),(V15+W15))</f>
        <v>0</v>
      </c>
      <c r="Y15" s="1038">
        <f t="shared" si="6"/>
        <v>0</v>
      </c>
      <c r="Z15" s="1044">
        <f t="shared" si="7"/>
        <v>0</v>
      </c>
      <c r="AB15" s="987"/>
      <c r="AC15" s="808"/>
    </row>
    <row r="16" spans="1:43" ht="27" customHeight="1" x14ac:dyDescent="0.2">
      <c r="A16" s="37">
        <v>7</v>
      </c>
      <c r="B16" s="1031"/>
      <c r="C16" s="1032"/>
      <c r="D16" s="1033"/>
      <c r="E16" s="1034"/>
      <c r="F16" s="1035"/>
      <c r="G16" s="1035"/>
      <c r="H16" s="70"/>
      <c r="I16" s="1037" t="s">
        <v>632</v>
      </c>
      <c r="J16" s="1124">
        <f t="shared" si="0"/>
        <v>0</v>
      </c>
      <c r="K16" s="1125"/>
      <c r="L16" s="1036"/>
      <c r="M16" s="1034"/>
      <c r="N16" s="1038">
        <f>IF(M16="",0,ROUND(VLOOKUP(M16,Compsch!$A$10:$B$509,2),2))</f>
        <v>0</v>
      </c>
      <c r="O16" s="1038">
        <f t="shared" si="1"/>
        <v>0</v>
      </c>
      <c r="P16" s="1038">
        <f t="shared" si="3"/>
        <v>0</v>
      </c>
      <c r="Q16" s="1039">
        <v>44378</v>
      </c>
      <c r="R16" s="1040">
        <f>IFERROR(IF(Q16="",0,ROUND((VLOOKUP(M16,Compsch!$A$11:$I$390,9)-(VLOOKUP(M16,Compsch!$A$11:$I$390,7)))*(VLOOKUP(Q16,MeritSch!$A$5:$B$370,2)),0)),0)</f>
        <v>0</v>
      </c>
      <c r="S16" s="1038">
        <f t="shared" si="2"/>
        <v>0</v>
      </c>
      <c r="T16" s="1041">
        <f t="shared" si="4"/>
        <v>0</v>
      </c>
      <c r="U16" s="989">
        <f>IF(F16="y",((((N16+O16+T16)*J16)*Rates!$I$379))/24,(((N16+O16+T16)*J16)/24))</f>
        <v>0</v>
      </c>
      <c r="V16" s="1042" t="b">
        <f t="shared" si="5"/>
        <v>0</v>
      </c>
      <c r="W16" s="1043"/>
      <c r="X16" s="990">
        <f>IF(F16="y",(V16*Rates!$I$379+W16),(V16+W16))</f>
        <v>0</v>
      </c>
      <c r="Y16" s="1038">
        <f t="shared" si="6"/>
        <v>0</v>
      </c>
      <c r="Z16" s="1044">
        <f t="shared" si="7"/>
        <v>0</v>
      </c>
      <c r="AB16" s="987"/>
      <c r="AC16" s="808"/>
    </row>
    <row r="17" spans="1:29" ht="27" customHeight="1" x14ac:dyDescent="0.2">
      <c r="A17" s="37">
        <v>8</v>
      </c>
      <c r="B17" s="1031"/>
      <c r="C17" s="1032"/>
      <c r="D17" s="1033"/>
      <c r="E17" s="1034"/>
      <c r="F17" s="1035"/>
      <c r="G17" s="1035"/>
      <c r="H17" s="70"/>
      <c r="I17" s="1037" t="s">
        <v>632</v>
      </c>
      <c r="J17" s="1124">
        <f t="shared" si="0"/>
        <v>0</v>
      </c>
      <c r="K17" s="1125"/>
      <c r="L17" s="1036"/>
      <c r="M17" s="1034"/>
      <c r="N17" s="1038">
        <f>IF(M17="",0,ROUND(VLOOKUP(M17,Compsch!$A$10:$B$509,2),2))</f>
        <v>0</v>
      </c>
      <c r="O17" s="1038">
        <f t="shared" si="1"/>
        <v>0</v>
      </c>
      <c r="P17" s="1038">
        <f t="shared" si="3"/>
        <v>0</v>
      </c>
      <c r="Q17" s="1039">
        <v>44378</v>
      </c>
      <c r="R17" s="1040">
        <f>IFERROR(IF(Q17="",0,ROUND((VLOOKUP(M17,Compsch!$A$11:$I$390,9)-(VLOOKUP(M17,Compsch!$A$11:$I$390,7)))*(VLOOKUP(Q17,MeritSch!$A$5:$B$370,2)),0)),0)</f>
        <v>0</v>
      </c>
      <c r="S17" s="1038">
        <f t="shared" si="2"/>
        <v>0</v>
      </c>
      <c r="T17" s="1041">
        <f t="shared" si="4"/>
        <v>0</v>
      </c>
      <c r="U17" s="989">
        <f>IF(F17="y",((((N17+O17+T17)*J17)*Rates!$I$379))/24,(((N17+O17+T17)*J17)/24))</f>
        <v>0</v>
      </c>
      <c r="V17" s="1042" t="b">
        <f t="shared" si="5"/>
        <v>0</v>
      </c>
      <c r="W17" s="1043"/>
      <c r="X17" s="990">
        <f>IF(F17="y",(V17*Rates!$I$379+W17),(V17+W17))</f>
        <v>0</v>
      </c>
      <c r="Y17" s="1038">
        <f t="shared" si="6"/>
        <v>0</v>
      </c>
      <c r="Z17" s="1044">
        <f t="shared" si="7"/>
        <v>0</v>
      </c>
      <c r="AB17" s="987"/>
      <c r="AC17" s="808"/>
    </row>
    <row r="18" spans="1:29" ht="27" customHeight="1" x14ac:dyDescent="0.2">
      <c r="A18" s="37">
        <v>9</v>
      </c>
      <c r="B18" s="1031"/>
      <c r="C18" s="1032"/>
      <c r="D18" s="1033"/>
      <c r="E18" s="1034"/>
      <c r="F18" s="1035"/>
      <c r="G18" s="1035"/>
      <c r="H18" s="70"/>
      <c r="I18" s="1037" t="s">
        <v>632</v>
      </c>
      <c r="J18" s="1124">
        <f t="shared" si="0"/>
        <v>0</v>
      </c>
      <c r="K18" s="1125"/>
      <c r="L18" s="1036"/>
      <c r="M18" s="1034"/>
      <c r="N18" s="1038">
        <f>IF(M18="",0,ROUND(VLOOKUP(M18,Compsch!$A$10:$B$509,2),2))</f>
        <v>0</v>
      </c>
      <c r="O18" s="1038">
        <f t="shared" si="1"/>
        <v>0</v>
      </c>
      <c r="P18" s="1038">
        <f t="shared" si="3"/>
        <v>0</v>
      </c>
      <c r="Q18" s="1039">
        <v>44378</v>
      </c>
      <c r="R18" s="1040">
        <f>IFERROR(IF(Q18="",0,ROUND((VLOOKUP(M18,Compsch!$A$11:$I$390,9)-(VLOOKUP(M18,Compsch!$A$11:$I$390,7)))*(VLOOKUP(Q18,MeritSch!$A$5:$B$370,2)),0)),0)</f>
        <v>0</v>
      </c>
      <c r="S18" s="1038">
        <f t="shared" si="2"/>
        <v>0</v>
      </c>
      <c r="T18" s="1041">
        <f t="shared" si="4"/>
        <v>0</v>
      </c>
      <c r="U18" s="989">
        <f>IF(F18="y",((((N18+O18+T18)*J18)*Rates!$I$379))/24,(((N18+O18+T18)*J18)/24))</f>
        <v>0</v>
      </c>
      <c r="V18" s="1042" t="b">
        <f t="shared" si="5"/>
        <v>0</v>
      </c>
      <c r="W18" s="1043"/>
      <c r="X18" s="990">
        <f>IF(F18="y",(V18*Rates!$I$379+W18),(V18+W18))</f>
        <v>0</v>
      </c>
      <c r="Y18" s="1038">
        <f t="shared" si="6"/>
        <v>0</v>
      </c>
      <c r="Z18" s="1044">
        <f t="shared" si="7"/>
        <v>0</v>
      </c>
      <c r="AB18" s="987"/>
      <c r="AC18" s="808"/>
    </row>
    <row r="19" spans="1:29" ht="27" customHeight="1" x14ac:dyDescent="0.2">
      <c r="A19" s="37">
        <v>10</v>
      </c>
      <c r="B19" s="1031"/>
      <c r="C19" s="1032"/>
      <c r="D19" s="1033"/>
      <c r="E19" s="1034"/>
      <c r="F19" s="1035"/>
      <c r="G19" s="1035"/>
      <c r="H19" s="70"/>
      <c r="I19" s="1037" t="s">
        <v>632</v>
      </c>
      <c r="J19" s="1124">
        <f t="shared" si="0"/>
        <v>0</v>
      </c>
      <c r="K19" s="1125"/>
      <c r="L19" s="1036"/>
      <c r="M19" s="1034"/>
      <c r="N19" s="1038">
        <f>IF(M19="",0,ROUND(VLOOKUP(M19,Compsch!$A$10:$B$509,2),2))</f>
        <v>0</v>
      </c>
      <c r="O19" s="1038">
        <f t="shared" si="1"/>
        <v>0</v>
      </c>
      <c r="P19" s="1038">
        <f t="shared" si="3"/>
        <v>0</v>
      </c>
      <c r="Q19" s="1039">
        <v>44378</v>
      </c>
      <c r="R19" s="1040">
        <f>IFERROR(IF(Q19="",0,ROUND((VLOOKUP(M19,Compsch!$A$11:$I$390,9)-(VLOOKUP(M19,Compsch!$A$11:$I$390,7)))*(VLOOKUP(Q19,MeritSch!$A$5:$B$370,2)),0)),0)</f>
        <v>0</v>
      </c>
      <c r="S19" s="1038">
        <f t="shared" si="2"/>
        <v>0</v>
      </c>
      <c r="T19" s="1041">
        <f t="shared" si="4"/>
        <v>0</v>
      </c>
      <c r="U19" s="989">
        <f>IF(F19="y",((((N19+O19+T19)*J19)*Rates!$I$379))/24,(((N19+O19+T19)*J19)/24))</f>
        <v>0</v>
      </c>
      <c r="V19" s="1042" t="b">
        <f t="shared" si="5"/>
        <v>0</v>
      </c>
      <c r="W19" s="1043"/>
      <c r="X19" s="990">
        <f>IF(F19="y",(V19*Rates!$I$379+W19),(V19+W19))</f>
        <v>0</v>
      </c>
      <c r="Y19" s="1038">
        <f t="shared" si="6"/>
        <v>0</v>
      </c>
      <c r="Z19" s="1044">
        <f t="shared" si="7"/>
        <v>0</v>
      </c>
      <c r="AB19" s="987"/>
      <c r="AC19" s="808"/>
    </row>
    <row r="20" spans="1:29" ht="27" hidden="1" customHeight="1" x14ac:dyDescent="0.2">
      <c r="A20" s="37">
        <v>11</v>
      </c>
      <c r="B20" s="1031"/>
      <c r="C20" s="1032"/>
      <c r="D20" s="1033"/>
      <c r="E20" s="1034"/>
      <c r="F20" s="1035"/>
      <c r="G20" s="1035"/>
      <c r="H20" s="70"/>
      <c r="I20" s="1037" t="s">
        <v>632</v>
      </c>
      <c r="J20" s="1124">
        <f t="shared" si="0"/>
        <v>0</v>
      </c>
      <c r="K20" s="1125"/>
      <c r="L20" s="1036"/>
      <c r="M20" s="1034"/>
      <c r="N20" s="1038">
        <f>IF(M20="",0,ROUND(VLOOKUP(M20,Compsch!$A$10:$B$509,2),2))</f>
        <v>0</v>
      </c>
      <c r="O20" s="1038">
        <f t="shared" si="1"/>
        <v>0</v>
      </c>
      <c r="P20" s="1038">
        <f t="shared" si="3"/>
        <v>0</v>
      </c>
      <c r="Q20" s="1039">
        <v>44378</v>
      </c>
      <c r="R20" s="1040">
        <f>IFERROR(IF(Q20="",0,ROUND((VLOOKUP(M20,Compsch!$A$11:$I$390,9)-(VLOOKUP(M20,Compsch!$A$11:$I$390,7)))*(VLOOKUP(Q20,MeritSch!$A$5:$B$370,2)),0)),0)</f>
        <v>0</v>
      </c>
      <c r="S20" s="1038">
        <f t="shared" si="2"/>
        <v>0</v>
      </c>
      <c r="T20" s="1041">
        <f t="shared" si="4"/>
        <v>0</v>
      </c>
      <c r="U20" s="989">
        <f>IF(F20="y",((((N20+O20+T20)*J20)*Rates!$I$379))/24,(((N20+O20+T20)*J20)/24))</f>
        <v>0</v>
      </c>
      <c r="V20" s="1042" t="b">
        <f t="shared" si="5"/>
        <v>0</v>
      </c>
      <c r="W20" s="1043"/>
      <c r="X20" s="990">
        <f>IF(F20="y",(V20*Rates!$D$331+W20),(V20+W20))</f>
        <v>0</v>
      </c>
      <c r="Y20" s="1038">
        <f>X20*Rates!$D$339</f>
        <v>0</v>
      </c>
      <c r="Z20" s="1044">
        <f t="shared" si="7"/>
        <v>0</v>
      </c>
      <c r="AB20" s="987"/>
      <c r="AC20" s="808"/>
    </row>
    <row r="21" spans="1:29" ht="27" hidden="1" customHeight="1" x14ac:dyDescent="0.2">
      <c r="A21" s="37">
        <v>12</v>
      </c>
      <c r="B21" s="1031"/>
      <c r="C21" s="1032"/>
      <c r="D21" s="1033"/>
      <c r="E21" s="1034"/>
      <c r="F21" s="1035"/>
      <c r="G21" s="1035"/>
      <c r="H21" s="70"/>
      <c r="I21" s="1037" t="s">
        <v>632</v>
      </c>
      <c r="J21" s="1124">
        <f t="shared" si="0"/>
        <v>0</v>
      </c>
      <c r="K21" s="1125"/>
      <c r="L21" s="1036"/>
      <c r="M21" s="1034"/>
      <c r="N21" s="1038">
        <f>IF(M21="",0,ROUND(VLOOKUP(M21,Compsch!$A$10:$B$509,2),2))</f>
        <v>0</v>
      </c>
      <c r="O21" s="1038">
        <f t="shared" si="1"/>
        <v>0</v>
      </c>
      <c r="P21" s="1038">
        <f t="shared" si="3"/>
        <v>0</v>
      </c>
      <c r="Q21" s="1039">
        <v>44378</v>
      </c>
      <c r="R21" s="1040">
        <f>IFERROR(IF(Q21="",0,ROUND((VLOOKUP(M21,Compsch!$A$11:$I$390,9)-(VLOOKUP(M21,Compsch!$A$11:$I$390,7)))*(VLOOKUP(Q21,MeritSch!$A$5:$B$370,2)),0)),0)</f>
        <v>0</v>
      </c>
      <c r="S21" s="1038">
        <f t="shared" si="2"/>
        <v>0</v>
      </c>
      <c r="T21" s="1041">
        <f t="shared" si="4"/>
        <v>0</v>
      </c>
      <c r="U21" s="989">
        <f>IF(F21="y",((((N21+O21+T21)*J21)*Rates!$I$379))/24,(((N21+O21+T21)*J21)/24))</f>
        <v>0</v>
      </c>
      <c r="V21" s="1042" t="b">
        <f t="shared" si="5"/>
        <v>0</v>
      </c>
      <c r="W21" s="1043"/>
      <c r="X21" s="990">
        <f>IF(F21="y",(V21*Rates!$D$331+W21),(V21+W21))</f>
        <v>0</v>
      </c>
      <c r="Y21" s="1038">
        <f>X21*Rates!$D$339</f>
        <v>0</v>
      </c>
      <c r="Z21" s="1044">
        <f t="shared" si="7"/>
        <v>0</v>
      </c>
      <c r="AB21" s="987"/>
      <c r="AC21" s="808"/>
    </row>
    <row r="22" spans="1:29" ht="27" hidden="1" customHeight="1" x14ac:dyDescent="0.2">
      <c r="A22" s="37">
        <v>13</v>
      </c>
      <c r="B22" s="1031"/>
      <c r="C22" s="1032"/>
      <c r="D22" s="1033"/>
      <c r="E22" s="1034"/>
      <c r="F22" s="1035"/>
      <c r="G22" s="1035"/>
      <c r="H22" s="70"/>
      <c r="I22" s="1037" t="s">
        <v>632</v>
      </c>
      <c r="J22" s="1124">
        <f t="shared" si="0"/>
        <v>0</v>
      </c>
      <c r="K22" s="1125"/>
      <c r="L22" s="1036"/>
      <c r="M22" s="1034"/>
      <c r="N22" s="1038">
        <f>IF(M22="",0,ROUND(VLOOKUP(M22,Compsch!$A$10:$B$509,2),2))</f>
        <v>0</v>
      </c>
      <c r="O22" s="1038">
        <f t="shared" si="1"/>
        <v>0</v>
      </c>
      <c r="P22" s="1038">
        <f t="shared" si="3"/>
        <v>0</v>
      </c>
      <c r="Q22" s="1039">
        <v>44378</v>
      </c>
      <c r="R22" s="1040">
        <f>IFERROR(IF(Q22="",0,ROUND((VLOOKUP(M22,Compsch!$A$11:$I$390,9)-(VLOOKUP(M22,Compsch!$A$11:$I$390,7)))*(VLOOKUP(Q22,MeritSch!$A$5:$B$370,2)),0)),0)</f>
        <v>0</v>
      </c>
      <c r="S22" s="1038">
        <f t="shared" si="2"/>
        <v>0</v>
      </c>
      <c r="T22" s="1041">
        <f t="shared" si="4"/>
        <v>0</v>
      </c>
      <c r="U22" s="989">
        <f>IF(F22="y",((((N22+O22+T22)*J22)*Rates!$I$379))/24,(((N22+O22+T22)*J22)/24))</f>
        <v>0</v>
      </c>
      <c r="V22" s="1042" t="b">
        <f t="shared" si="5"/>
        <v>0</v>
      </c>
      <c r="W22" s="1043"/>
      <c r="X22" s="990">
        <f>IF(F22="y",(V22*Rates!$D$331+W22),(V22+W22))</f>
        <v>0</v>
      </c>
      <c r="Y22" s="1038">
        <f>X22*Rates!$D$339</f>
        <v>0</v>
      </c>
      <c r="Z22" s="1044">
        <f t="shared" si="7"/>
        <v>0</v>
      </c>
      <c r="AB22" s="987"/>
      <c r="AC22" s="808"/>
    </row>
    <row r="23" spans="1:29" ht="27" hidden="1" customHeight="1" x14ac:dyDescent="0.2">
      <c r="A23" s="37">
        <v>14</v>
      </c>
      <c r="B23" s="1031"/>
      <c r="C23" s="1032"/>
      <c r="D23" s="1033"/>
      <c r="E23" s="1034"/>
      <c r="F23" s="1035"/>
      <c r="G23" s="1035"/>
      <c r="H23" s="70"/>
      <c r="I23" s="1037" t="s">
        <v>632</v>
      </c>
      <c r="J23" s="1124">
        <f t="shared" si="0"/>
        <v>0</v>
      </c>
      <c r="K23" s="1125"/>
      <c r="L23" s="1036"/>
      <c r="M23" s="1034"/>
      <c r="N23" s="1038">
        <f>IF(M23="",0,ROUND(VLOOKUP(M23,Compsch!$A$10:$B$509,2),2))</f>
        <v>0</v>
      </c>
      <c r="O23" s="1038">
        <f t="shared" si="1"/>
        <v>0</v>
      </c>
      <c r="P23" s="1038">
        <f t="shared" si="3"/>
        <v>0</v>
      </c>
      <c r="Q23" s="1039">
        <v>44378</v>
      </c>
      <c r="R23" s="1040">
        <f>IFERROR(IF(Q23="",0,ROUND((VLOOKUP(M23,Compsch!$A$11:$I$390,9)-(VLOOKUP(M23,Compsch!$A$11:$I$390,7)))*(VLOOKUP(Q23,MeritSch!$A$5:$B$370,2)),0)),0)</f>
        <v>0</v>
      </c>
      <c r="S23" s="1038">
        <f t="shared" si="2"/>
        <v>0</v>
      </c>
      <c r="T23" s="1041">
        <f t="shared" si="4"/>
        <v>0</v>
      </c>
      <c r="U23" s="989">
        <f>IF(F23="y",((((N23+O23+T23)*J23)*Rates!$I$379))/24,(((N23+O23+T23)*J23)/24))</f>
        <v>0</v>
      </c>
      <c r="V23" s="1042" t="b">
        <f t="shared" si="5"/>
        <v>0</v>
      </c>
      <c r="W23" s="1043"/>
      <c r="X23" s="990">
        <f>IF(F23="y",(V23*Rates!$D$331+W23),(V23+W23))</f>
        <v>0</v>
      </c>
      <c r="Y23" s="1038">
        <f>X23*Rates!$D$339</f>
        <v>0</v>
      </c>
      <c r="Z23" s="1044">
        <f t="shared" si="7"/>
        <v>0</v>
      </c>
      <c r="AB23" s="987"/>
      <c r="AC23" s="808"/>
    </row>
    <row r="24" spans="1:29" ht="27" hidden="1" customHeight="1" x14ac:dyDescent="0.2">
      <c r="A24" s="37">
        <v>15</v>
      </c>
      <c r="B24" s="1031"/>
      <c r="C24" s="1032"/>
      <c r="D24" s="1033"/>
      <c r="E24" s="1034"/>
      <c r="F24" s="1035"/>
      <c r="G24" s="1035"/>
      <c r="H24" s="70"/>
      <c r="I24" s="1037" t="s">
        <v>632</v>
      </c>
      <c r="J24" s="1124">
        <f t="shared" si="0"/>
        <v>0</v>
      </c>
      <c r="K24" s="1125"/>
      <c r="L24" s="1036"/>
      <c r="M24" s="1034"/>
      <c r="N24" s="1038">
        <f>IF(M24="",0,ROUND(VLOOKUP(M24,Compsch!$A$10:$B$509,2),2))</f>
        <v>0</v>
      </c>
      <c r="O24" s="1038">
        <f t="shared" si="1"/>
        <v>0</v>
      </c>
      <c r="P24" s="1038">
        <f t="shared" si="3"/>
        <v>0</v>
      </c>
      <c r="Q24" s="1039">
        <v>44378</v>
      </c>
      <c r="R24" s="1040">
        <f>IFERROR(IF(Q24="",0,ROUND((VLOOKUP(M24,Compsch!$A$11:$I$390,9)-(VLOOKUP(M24,Compsch!$A$11:$I$390,7)))*(VLOOKUP(Q24,MeritSch!$A$5:$B$370,2)),0)),0)</f>
        <v>0</v>
      </c>
      <c r="S24" s="1038">
        <f t="shared" si="2"/>
        <v>0</v>
      </c>
      <c r="T24" s="1041">
        <f t="shared" si="4"/>
        <v>0</v>
      </c>
      <c r="U24" s="989">
        <f>IF(F24="y",((((N24+O24+T24)*J24)*Rates!$I$379))/24,(((N24+O24+T24)*J24)/24))</f>
        <v>0</v>
      </c>
      <c r="V24" s="1042" t="b">
        <f t="shared" si="5"/>
        <v>0</v>
      </c>
      <c r="W24" s="1043"/>
      <c r="X24" s="990">
        <f>IF(F24="y",(V24*Rates!$D$331+W24),(V24+W24))</f>
        <v>0</v>
      </c>
      <c r="Y24" s="1038">
        <f>X24*Rates!$D$339</f>
        <v>0</v>
      </c>
      <c r="Z24" s="1044">
        <f t="shared" si="7"/>
        <v>0</v>
      </c>
      <c r="AB24" s="987"/>
      <c r="AC24" s="808"/>
    </row>
    <row r="25" spans="1:29" ht="27" hidden="1" customHeight="1" x14ac:dyDescent="0.2">
      <c r="A25" s="37">
        <v>16</v>
      </c>
      <c r="B25" s="1031"/>
      <c r="C25" s="1032"/>
      <c r="D25" s="1033"/>
      <c r="E25" s="1034"/>
      <c r="F25" s="1035"/>
      <c r="G25" s="1035"/>
      <c r="H25" s="70"/>
      <c r="I25" s="1037" t="s">
        <v>632</v>
      </c>
      <c r="J25" s="1124">
        <f t="shared" si="0"/>
        <v>0</v>
      </c>
      <c r="K25" s="1125"/>
      <c r="L25" s="1036"/>
      <c r="M25" s="1034"/>
      <c r="N25" s="1038">
        <f>IF(M25="",0,ROUND(VLOOKUP(M25,Compsch!$A$10:$B$509,2),2))</f>
        <v>0</v>
      </c>
      <c r="O25" s="1038">
        <f t="shared" si="1"/>
        <v>0</v>
      </c>
      <c r="P25" s="1038">
        <f t="shared" si="3"/>
        <v>0</v>
      </c>
      <c r="Q25" s="1039">
        <v>44378</v>
      </c>
      <c r="R25" s="1040">
        <f>IFERROR(IF(Q25="",0,ROUND((VLOOKUP(M25,Compsch!$A$11:$I$390,9)-(VLOOKUP(M25,Compsch!$A$11:$I$390,7)))*(VLOOKUP(Q25,MeritSch!$A$5:$B$370,2)),0)),0)</f>
        <v>0</v>
      </c>
      <c r="S25" s="1038">
        <f t="shared" si="2"/>
        <v>0</v>
      </c>
      <c r="T25" s="1041">
        <f t="shared" si="4"/>
        <v>0</v>
      </c>
      <c r="U25" s="989">
        <f>IF(F25="y",((((N25+O25+T25)*J25)*Rates!$I$379))/24,(((N25+O25+T25)*J25)/24))</f>
        <v>0</v>
      </c>
      <c r="V25" s="1042" t="b">
        <f t="shared" si="5"/>
        <v>0</v>
      </c>
      <c r="W25" s="1043"/>
      <c r="X25" s="990">
        <f>IF(F25="y",(V25*Rates!$D$331+W25),(V25+W25))</f>
        <v>0</v>
      </c>
      <c r="Y25" s="1038">
        <f>X25*Rates!$D$339</f>
        <v>0</v>
      </c>
      <c r="Z25" s="1044">
        <f t="shared" si="7"/>
        <v>0</v>
      </c>
      <c r="AB25" s="987"/>
      <c r="AC25" s="808"/>
    </row>
    <row r="26" spans="1:29" ht="27" hidden="1" customHeight="1" x14ac:dyDescent="0.2">
      <c r="A26" s="37">
        <v>17</v>
      </c>
      <c r="B26" s="1031"/>
      <c r="C26" s="1032"/>
      <c r="D26" s="1033"/>
      <c r="E26" s="1034"/>
      <c r="F26" s="1035"/>
      <c r="G26" s="1035"/>
      <c r="H26" s="70"/>
      <c r="I26" s="1037" t="s">
        <v>632</v>
      </c>
      <c r="J26" s="1124">
        <f t="shared" si="0"/>
        <v>0</v>
      </c>
      <c r="K26" s="1125"/>
      <c r="L26" s="1036"/>
      <c r="M26" s="1034"/>
      <c r="N26" s="1038">
        <f>IF(M26="",0,ROUND(VLOOKUP(M26,Compsch!$A$10:$B$509,2),2))</f>
        <v>0</v>
      </c>
      <c r="O26" s="1038">
        <f t="shared" si="1"/>
        <v>0</v>
      </c>
      <c r="P26" s="1038">
        <f t="shared" si="3"/>
        <v>0</v>
      </c>
      <c r="Q26" s="1039">
        <v>44378</v>
      </c>
      <c r="R26" s="1040">
        <f>IFERROR(IF(Q26="",0,ROUND((VLOOKUP(M26,Compsch!$A$11:$I$390,9)-(VLOOKUP(M26,Compsch!$A$11:$I$390,7)))*(VLOOKUP(Q26,MeritSch!$A$5:$B$370,2)),0)),0)</f>
        <v>0</v>
      </c>
      <c r="S26" s="1038">
        <f t="shared" si="2"/>
        <v>0</v>
      </c>
      <c r="T26" s="1041">
        <f t="shared" si="4"/>
        <v>0</v>
      </c>
      <c r="U26" s="989">
        <f>IF(F26="y",((((N26+O26+T26)*J26)*Rates!$I$379))/24,(((N26+O26+T26)*J26)/24))</f>
        <v>0</v>
      </c>
      <c r="V26" s="1042" t="b">
        <f t="shared" si="5"/>
        <v>0</v>
      </c>
      <c r="W26" s="1043"/>
      <c r="X26" s="990">
        <f>IF(F26="y",(V26*Rates!$D$331+W26),(V26+W26))</f>
        <v>0</v>
      </c>
      <c r="Y26" s="1038">
        <f>X26*Rates!$D$339</f>
        <v>0</v>
      </c>
      <c r="Z26" s="1044">
        <f t="shared" si="7"/>
        <v>0</v>
      </c>
      <c r="AB26" s="987"/>
      <c r="AC26" s="808"/>
    </row>
    <row r="27" spans="1:29" ht="27" hidden="1" customHeight="1" x14ac:dyDescent="0.2">
      <c r="A27" s="37">
        <v>18</v>
      </c>
      <c r="B27" s="1031"/>
      <c r="C27" s="1032"/>
      <c r="D27" s="1033"/>
      <c r="E27" s="1034"/>
      <c r="F27" s="1035"/>
      <c r="G27" s="1035"/>
      <c r="H27" s="70"/>
      <c r="I27" s="1037" t="s">
        <v>632</v>
      </c>
      <c r="J27" s="1124">
        <f t="shared" si="0"/>
        <v>0</v>
      </c>
      <c r="K27" s="1125"/>
      <c r="L27" s="1036"/>
      <c r="M27" s="1034"/>
      <c r="N27" s="1038">
        <f>IF(M27="",0,ROUND(VLOOKUP(M27,Compsch!$A$10:$B$509,2),2))</f>
        <v>0</v>
      </c>
      <c r="O27" s="1038">
        <f t="shared" si="1"/>
        <v>0</v>
      </c>
      <c r="P27" s="1038">
        <f t="shared" si="3"/>
        <v>0</v>
      </c>
      <c r="Q27" s="1039">
        <v>44378</v>
      </c>
      <c r="R27" s="1040">
        <f>IFERROR(IF(Q27="",0,ROUND((VLOOKUP(M27,Compsch!$A$11:$I$390,9)-(VLOOKUP(M27,Compsch!$A$11:$I$390,7)))*(VLOOKUP(Q27,MeritSch!$A$5:$B$370,2)),0)),0)</f>
        <v>0</v>
      </c>
      <c r="S27" s="1038">
        <f t="shared" si="2"/>
        <v>0</v>
      </c>
      <c r="T27" s="1041">
        <f t="shared" si="4"/>
        <v>0</v>
      </c>
      <c r="U27" s="989">
        <f>IF(F27="y",((((N27+O27+T27)*J27)*Rates!$I$379))/24,(((N27+O27+T27)*J27)/24))</f>
        <v>0</v>
      </c>
      <c r="V27" s="1042" t="b">
        <f t="shared" si="5"/>
        <v>0</v>
      </c>
      <c r="W27" s="1043"/>
      <c r="X27" s="990">
        <f>IF(F27="y",(V27*Rates!$D$331+W27),(V27+W27))</f>
        <v>0</v>
      </c>
      <c r="Y27" s="1038">
        <f>X27*Rates!$D$339</f>
        <v>0</v>
      </c>
      <c r="Z27" s="1044">
        <f t="shared" si="7"/>
        <v>0</v>
      </c>
      <c r="AB27" s="987"/>
      <c r="AC27" s="808"/>
    </row>
    <row r="28" spans="1:29" ht="27" hidden="1" customHeight="1" x14ac:dyDescent="0.2">
      <c r="A28" s="37">
        <v>19</v>
      </c>
      <c r="B28" s="1031"/>
      <c r="C28" s="1032"/>
      <c r="D28" s="1033"/>
      <c r="E28" s="1034"/>
      <c r="F28" s="1035"/>
      <c r="G28" s="1035"/>
      <c r="H28" s="70"/>
      <c r="I28" s="1037" t="s">
        <v>632</v>
      </c>
      <c r="J28" s="1124">
        <f t="shared" si="0"/>
        <v>0</v>
      </c>
      <c r="K28" s="1125"/>
      <c r="L28" s="1036"/>
      <c r="M28" s="1034"/>
      <c r="N28" s="1038">
        <f>IF(M28="",0,ROUND(VLOOKUP(M28,Compsch!$A$10:$B$509,2),2))</f>
        <v>0</v>
      </c>
      <c r="O28" s="1038">
        <f t="shared" si="1"/>
        <v>0</v>
      </c>
      <c r="P28" s="1038">
        <f t="shared" si="3"/>
        <v>0</v>
      </c>
      <c r="Q28" s="1039">
        <v>44378</v>
      </c>
      <c r="R28" s="1040">
        <f>IFERROR(IF(Q28="",0,ROUND((VLOOKUP(M28,Compsch!$A$11:$I$390,9)-(VLOOKUP(M28,Compsch!$A$11:$I$390,7)))*(VLOOKUP(Q28,MeritSch!$A$5:$B$370,2)),0)),0)</f>
        <v>0</v>
      </c>
      <c r="S28" s="1038">
        <f t="shared" si="2"/>
        <v>0</v>
      </c>
      <c r="T28" s="1041">
        <f t="shared" si="4"/>
        <v>0</v>
      </c>
      <c r="U28" s="989">
        <f>IF(F28="y",((((N28+O28+T28)*J28)*Rates!$I$379))/24,(((N28+O28+T28)*J28)/24))</f>
        <v>0</v>
      </c>
      <c r="V28" s="1042" t="b">
        <f t="shared" si="5"/>
        <v>0</v>
      </c>
      <c r="W28" s="1043"/>
      <c r="X28" s="990">
        <f>IF(F28="y",(V28*Rates!$D$331+W28),(V28+W28))</f>
        <v>0</v>
      </c>
      <c r="Y28" s="1038">
        <f>X28*Rates!$D$339</f>
        <v>0</v>
      </c>
      <c r="Z28" s="1044">
        <f t="shared" si="7"/>
        <v>0</v>
      </c>
      <c r="AB28" s="987"/>
      <c r="AC28" s="808"/>
    </row>
    <row r="29" spans="1:29" ht="27" hidden="1" customHeight="1" x14ac:dyDescent="0.2">
      <c r="A29" s="37">
        <v>20</v>
      </c>
      <c r="B29" s="1031"/>
      <c r="C29" s="1032"/>
      <c r="D29" s="1033"/>
      <c r="E29" s="1034"/>
      <c r="F29" s="1035"/>
      <c r="G29" s="1035"/>
      <c r="H29" s="70"/>
      <c r="I29" s="1037" t="s">
        <v>632</v>
      </c>
      <c r="J29" s="1124">
        <f t="shared" si="0"/>
        <v>0</v>
      </c>
      <c r="K29" s="1125"/>
      <c r="L29" s="1036"/>
      <c r="M29" s="1034"/>
      <c r="N29" s="1038">
        <f>IF(M29="",0,ROUND(VLOOKUP(M29,Compsch!$A$10:$B$509,2),2))</f>
        <v>0</v>
      </c>
      <c r="O29" s="1038">
        <f t="shared" si="1"/>
        <v>0</v>
      </c>
      <c r="P29" s="1038">
        <f t="shared" si="3"/>
        <v>0</v>
      </c>
      <c r="Q29" s="1039">
        <v>44378</v>
      </c>
      <c r="R29" s="1040">
        <f>IFERROR(IF(Q29="",0,ROUND((VLOOKUP(M29,Compsch!$A$11:$I$390,9)-(VLOOKUP(M29,Compsch!$A$11:$I$390,7)))*(VLOOKUP(Q29,MeritSch!$A$5:$B$370,2)),0)),0)</f>
        <v>0</v>
      </c>
      <c r="S29" s="1038">
        <f t="shared" si="2"/>
        <v>0</v>
      </c>
      <c r="T29" s="1041">
        <f t="shared" si="4"/>
        <v>0</v>
      </c>
      <c r="U29" s="989">
        <f>IF(F29="y",((((N29+O29+T29)*J29)*Rates!$I$379))/24,(((N29+O29+T29)*J29)/24))</f>
        <v>0</v>
      </c>
      <c r="V29" s="1042" t="b">
        <f t="shared" si="5"/>
        <v>0</v>
      </c>
      <c r="W29" s="1043"/>
      <c r="X29" s="990">
        <f>IF(F29="y",(V29*Rates!$D$331+W29),(V29+W29))</f>
        <v>0</v>
      </c>
      <c r="Y29" s="1038">
        <f>X29*Rates!$D$339</f>
        <v>0</v>
      </c>
      <c r="Z29" s="1044">
        <f t="shared" si="7"/>
        <v>0</v>
      </c>
      <c r="AB29" s="987"/>
      <c r="AC29" s="808"/>
    </row>
    <row r="30" spans="1:29" ht="27" hidden="1" customHeight="1" x14ac:dyDescent="0.2">
      <c r="A30" s="37">
        <v>21</v>
      </c>
      <c r="B30" s="1031"/>
      <c r="C30" s="1032"/>
      <c r="D30" s="1033"/>
      <c r="E30" s="1034"/>
      <c r="F30" s="1035"/>
      <c r="G30" s="1035"/>
      <c r="H30" s="70"/>
      <c r="I30" s="1037" t="s">
        <v>632</v>
      </c>
      <c r="J30" s="1124">
        <f t="shared" si="0"/>
        <v>0</v>
      </c>
      <c r="K30" s="1125"/>
      <c r="L30" s="1036"/>
      <c r="M30" s="1034"/>
      <c r="N30" s="1038">
        <f>IF(M30="",0,ROUND(VLOOKUP(M30,Compsch!$A$10:$B$509,2),2))</f>
        <v>0</v>
      </c>
      <c r="O30" s="1038">
        <f t="shared" si="1"/>
        <v>0</v>
      </c>
      <c r="P30" s="1038">
        <f t="shared" si="3"/>
        <v>0</v>
      </c>
      <c r="Q30" s="1039">
        <v>44378</v>
      </c>
      <c r="R30" s="1040">
        <f>IFERROR(IF(Q30="",0,ROUND((VLOOKUP(M30,Compsch!$A$11:$I$390,9)-(VLOOKUP(M30,Compsch!$A$11:$I$390,7)))*(VLOOKUP(Q30,MeritSch!$A$5:$B$370,2)),0)),0)</f>
        <v>0</v>
      </c>
      <c r="S30" s="1038">
        <f t="shared" si="2"/>
        <v>0</v>
      </c>
      <c r="T30" s="1041">
        <f t="shared" si="4"/>
        <v>0</v>
      </c>
      <c r="U30" s="989">
        <f>IF(F30="y",((((N30+O30+T30)*J30)*Rates!$I$379))/24,(((N30+O30+T30)*J30)/24))</f>
        <v>0</v>
      </c>
      <c r="V30" s="1042" t="b">
        <f t="shared" si="5"/>
        <v>0</v>
      </c>
      <c r="W30" s="1043"/>
      <c r="X30" s="990">
        <f>IF(F30="y",(V30*Rates!$D$331+W30),(V30+W30))</f>
        <v>0</v>
      </c>
      <c r="Y30" s="1038">
        <f>X30*Rates!$D$339</f>
        <v>0</v>
      </c>
      <c r="Z30" s="1044">
        <f t="shared" si="7"/>
        <v>0</v>
      </c>
      <c r="AB30" s="987"/>
      <c r="AC30" s="808"/>
    </row>
    <row r="31" spans="1:29" ht="27" hidden="1" customHeight="1" x14ac:dyDescent="0.2">
      <c r="A31" s="37">
        <v>22</v>
      </c>
      <c r="B31" s="1031"/>
      <c r="C31" s="1032"/>
      <c r="D31" s="1033"/>
      <c r="E31" s="1034"/>
      <c r="F31" s="1035"/>
      <c r="G31" s="1035"/>
      <c r="H31" s="70"/>
      <c r="I31" s="1037" t="s">
        <v>632</v>
      </c>
      <c r="J31" s="1124">
        <f t="shared" si="0"/>
        <v>0</v>
      </c>
      <c r="K31" s="1125"/>
      <c r="L31" s="1036"/>
      <c r="M31" s="1034"/>
      <c r="N31" s="1038">
        <f>IF(M31="",0,ROUND(VLOOKUP(M31,Compsch!$A$10:$B$509,2),2))</f>
        <v>0</v>
      </c>
      <c r="O31" s="1038">
        <f t="shared" si="1"/>
        <v>0</v>
      </c>
      <c r="P31" s="1038">
        <f t="shared" si="3"/>
        <v>0</v>
      </c>
      <c r="Q31" s="1039">
        <v>44378</v>
      </c>
      <c r="R31" s="1040">
        <f>IFERROR(IF(Q31="",0,ROUND((VLOOKUP(M31,Compsch!$A$11:$I$390,9)-(VLOOKUP(M31,Compsch!$A$11:$I$390,7)))*(VLOOKUP(Q31,MeritSch!$A$5:$B$370,2)),0)),0)</f>
        <v>0</v>
      </c>
      <c r="S31" s="1038">
        <f t="shared" si="2"/>
        <v>0</v>
      </c>
      <c r="T31" s="1041">
        <f t="shared" si="4"/>
        <v>0</v>
      </c>
      <c r="U31" s="989">
        <f>IF(F31="y",((((N31+O31+T31)*J31)*Rates!$I$379))/24,(((N31+O31+T31)*J31)/24))</f>
        <v>0</v>
      </c>
      <c r="V31" s="1042" t="b">
        <f t="shared" si="5"/>
        <v>0</v>
      </c>
      <c r="W31" s="1043"/>
      <c r="X31" s="990">
        <f>IF(F31="y",(V31*Rates!$D$331+W31),(V31+W31))</f>
        <v>0</v>
      </c>
      <c r="Y31" s="1038">
        <f>X31*Rates!$D$339</f>
        <v>0</v>
      </c>
      <c r="Z31" s="1044">
        <f t="shared" si="7"/>
        <v>0</v>
      </c>
      <c r="AB31" s="987"/>
      <c r="AC31" s="808"/>
    </row>
    <row r="32" spans="1:29" ht="27" hidden="1" customHeight="1" x14ac:dyDescent="0.2">
      <c r="A32" s="37">
        <v>23</v>
      </c>
      <c r="B32" s="1031"/>
      <c r="C32" s="1032"/>
      <c r="D32" s="1033"/>
      <c r="E32" s="1034"/>
      <c r="F32" s="1035"/>
      <c r="G32" s="1035"/>
      <c r="H32" s="70"/>
      <c r="I32" s="1037" t="s">
        <v>632</v>
      </c>
      <c r="J32" s="1124">
        <f t="shared" si="0"/>
        <v>0</v>
      </c>
      <c r="K32" s="1125"/>
      <c r="L32" s="1036"/>
      <c r="M32" s="1034"/>
      <c r="N32" s="1038">
        <f>IF(M32="",0,ROUND(VLOOKUP(M32,Compsch!$A$10:$B$509,2),2))</f>
        <v>0</v>
      </c>
      <c r="O32" s="1038">
        <f t="shared" si="1"/>
        <v>0</v>
      </c>
      <c r="P32" s="1038">
        <f t="shared" si="3"/>
        <v>0</v>
      </c>
      <c r="Q32" s="1039">
        <v>44378</v>
      </c>
      <c r="R32" s="1040">
        <f>IFERROR(IF(Q32="",0,ROUND((VLOOKUP(M32,Compsch!$A$11:$I$390,9)-(VLOOKUP(M32,Compsch!$A$11:$I$390,7)))*(VLOOKUP(Q32,MeritSch!$A$5:$B$370,2)),0)),0)</f>
        <v>0</v>
      </c>
      <c r="S32" s="1038">
        <f t="shared" si="2"/>
        <v>0</v>
      </c>
      <c r="T32" s="1041">
        <f t="shared" si="4"/>
        <v>0</v>
      </c>
      <c r="U32" s="989">
        <f>IF(F32="y",((((N32+O32+T32)*J32)*Rates!$I$379))/24,(((N32+O32+T32)*J32)/24))</f>
        <v>0</v>
      </c>
      <c r="V32" s="1042" t="b">
        <f t="shared" si="5"/>
        <v>0</v>
      </c>
      <c r="W32" s="1043"/>
      <c r="X32" s="990">
        <f>IF(F32="y",(V32*Rates!$D$331+W32),(V32+W32))</f>
        <v>0</v>
      </c>
      <c r="Y32" s="1038">
        <f>X32*Rates!$D$339</f>
        <v>0</v>
      </c>
      <c r="Z32" s="1044">
        <f t="shared" si="7"/>
        <v>0</v>
      </c>
      <c r="AB32" s="987"/>
      <c r="AC32" s="808"/>
    </row>
    <row r="33" spans="1:29" ht="27" hidden="1" customHeight="1" x14ac:dyDescent="0.2">
      <c r="A33" s="37">
        <v>24</v>
      </c>
      <c r="B33" s="1031"/>
      <c r="C33" s="1032"/>
      <c r="D33" s="1033"/>
      <c r="E33" s="1034"/>
      <c r="F33" s="1035"/>
      <c r="G33" s="1035"/>
      <c r="H33" s="70"/>
      <c r="I33" s="1037" t="s">
        <v>632</v>
      </c>
      <c r="J33" s="1124">
        <f t="shared" si="0"/>
        <v>0</v>
      </c>
      <c r="K33" s="1125"/>
      <c r="L33" s="1036"/>
      <c r="M33" s="1034"/>
      <c r="N33" s="1038">
        <f>IF(M33="",0,ROUND(VLOOKUP(M33,Compsch!$A$10:$B$509,2),2))</f>
        <v>0</v>
      </c>
      <c r="O33" s="1038">
        <f t="shared" si="1"/>
        <v>0</v>
      </c>
      <c r="P33" s="1038">
        <f t="shared" si="3"/>
        <v>0</v>
      </c>
      <c r="Q33" s="1039">
        <v>44378</v>
      </c>
      <c r="R33" s="1040">
        <f>IFERROR(IF(Q33="",0,ROUND((VLOOKUP(M33,Compsch!$A$11:$I$390,9)-(VLOOKUP(M33,Compsch!$A$11:$I$390,7)))*(VLOOKUP(Q33,MeritSch!$A$5:$B$370,2)),0)),0)</f>
        <v>0</v>
      </c>
      <c r="S33" s="1038">
        <f t="shared" si="2"/>
        <v>0</v>
      </c>
      <c r="T33" s="1041">
        <f t="shared" si="4"/>
        <v>0</v>
      </c>
      <c r="U33" s="989">
        <f>IF(F33="y",((((N33+O33+T33)*J33)*Rates!$I$379))/24,(((N33+O33+T33)*J33)/24))</f>
        <v>0</v>
      </c>
      <c r="V33" s="1042" t="b">
        <f t="shared" si="5"/>
        <v>0</v>
      </c>
      <c r="W33" s="1043"/>
      <c r="X33" s="990">
        <f>IF(F33="y",(V33*Rates!$D$331+W33),(V33+W33))</f>
        <v>0</v>
      </c>
      <c r="Y33" s="1038">
        <f>X33*Rates!$D$339</f>
        <v>0</v>
      </c>
      <c r="Z33" s="1044">
        <f t="shared" si="7"/>
        <v>0</v>
      </c>
      <c r="AB33" s="987"/>
      <c r="AC33" s="808"/>
    </row>
    <row r="34" spans="1:29" ht="27" hidden="1" customHeight="1" x14ac:dyDescent="0.2">
      <c r="A34" s="37">
        <v>25</v>
      </c>
      <c r="B34" s="1031"/>
      <c r="C34" s="1032"/>
      <c r="D34" s="1033"/>
      <c r="E34" s="1034"/>
      <c r="F34" s="1035"/>
      <c r="G34" s="1035"/>
      <c r="H34" s="70"/>
      <c r="I34" s="1037" t="s">
        <v>632</v>
      </c>
      <c r="J34" s="1124">
        <f t="shared" si="0"/>
        <v>0</v>
      </c>
      <c r="K34" s="1125"/>
      <c r="L34" s="1036"/>
      <c r="M34" s="1034"/>
      <c r="N34" s="1038">
        <f>IF(M34="",0,ROUND(VLOOKUP(M34,Compsch!$A$10:$B$509,2),2))</f>
        <v>0</v>
      </c>
      <c r="O34" s="1038">
        <f t="shared" si="1"/>
        <v>0</v>
      </c>
      <c r="P34" s="1038">
        <f t="shared" si="3"/>
        <v>0</v>
      </c>
      <c r="Q34" s="1039">
        <v>44378</v>
      </c>
      <c r="R34" s="1040">
        <f>IFERROR(IF(Q34="",0,ROUND((VLOOKUP(M34,Compsch!$A$11:$I$390,9)-(VLOOKUP(M34,Compsch!$A$11:$I$390,7)))*(VLOOKUP(Q34,MeritSch!$A$5:$B$370,2)),0)),0)</f>
        <v>0</v>
      </c>
      <c r="S34" s="1038">
        <f t="shared" si="2"/>
        <v>0</v>
      </c>
      <c r="T34" s="1041">
        <f t="shared" si="4"/>
        <v>0</v>
      </c>
      <c r="U34" s="989">
        <f>IF(F34="y",((((N34+O34+T34)*J34)*Rates!$I$379))/24,(((N34+O34+T34)*J34)/24))</f>
        <v>0</v>
      </c>
      <c r="V34" s="1042" t="b">
        <f t="shared" si="5"/>
        <v>0</v>
      </c>
      <c r="W34" s="1043"/>
      <c r="X34" s="990">
        <f>IF(F34="y",(V34*Rates!$D$331+W34),(V34+W34))</f>
        <v>0</v>
      </c>
      <c r="Y34" s="1038">
        <f>X34*Rates!$D$339</f>
        <v>0</v>
      </c>
      <c r="Z34" s="1044">
        <f t="shared" si="7"/>
        <v>0</v>
      </c>
      <c r="AB34" s="987"/>
      <c r="AC34" s="808"/>
    </row>
    <row r="35" spans="1:29" ht="27" hidden="1" customHeight="1" x14ac:dyDescent="0.2">
      <c r="A35" s="37">
        <v>26</v>
      </c>
      <c r="B35" s="1031"/>
      <c r="C35" s="1032"/>
      <c r="D35" s="1033"/>
      <c r="E35" s="1034"/>
      <c r="F35" s="1035"/>
      <c r="G35" s="1035"/>
      <c r="H35" s="70"/>
      <c r="I35" s="1037" t="s">
        <v>632</v>
      </c>
      <c r="J35" s="1124">
        <f t="shared" si="0"/>
        <v>0</v>
      </c>
      <c r="K35" s="1125"/>
      <c r="L35" s="1036"/>
      <c r="M35" s="1034"/>
      <c r="N35" s="1038">
        <f>IF(M35="",0,ROUND(VLOOKUP(M35,Compsch!$A$10:$B$509,2),2))</f>
        <v>0</v>
      </c>
      <c r="O35" s="1038">
        <f t="shared" si="1"/>
        <v>0</v>
      </c>
      <c r="P35" s="1038">
        <f t="shared" si="3"/>
        <v>0</v>
      </c>
      <c r="Q35" s="1039">
        <v>44378</v>
      </c>
      <c r="R35" s="1040">
        <f>IFERROR(IF(Q35="",0,ROUND((VLOOKUP(M35,Compsch!$A$11:$I$390,9)-(VLOOKUP(M35,Compsch!$A$11:$I$390,7)))*(VLOOKUP(Q35,MeritSch!$A$5:$B$370,2)),0)),0)</f>
        <v>0</v>
      </c>
      <c r="S35" s="1038">
        <f t="shared" si="2"/>
        <v>0</v>
      </c>
      <c r="T35" s="1041">
        <f t="shared" si="4"/>
        <v>0</v>
      </c>
      <c r="U35" s="989">
        <f>IF(F35="y",((((N35+O35+T35)*J35)*Rates!$I$379))/24,(((N35+O35+T35)*J35)/24))</f>
        <v>0</v>
      </c>
      <c r="V35" s="1042" t="b">
        <f t="shared" si="5"/>
        <v>0</v>
      </c>
      <c r="W35" s="1043"/>
      <c r="X35" s="990">
        <f>IF(F35="y",(V35*Rates!$D$331+W35),(V35+W35))</f>
        <v>0</v>
      </c>
      <c r="Y35" s="1038">
        <f>X35*Rates!$D$339</f>
        <v>0</v>
      </c>
      <c r="Z35" s="1044">
        <f t="shared" si="7"/>
        <v>0</v>
      </c>
      <c r="AB35" s="987"/>
      <c r="AC35" s="808"/>
    </row>
    <row r="36" spans="1:29" ht="27" hidden="1" customHeight="1" x14ac:dyDescent="0.2">
      <c r="A36" s="37">
        <v>27</v>
      </c>
      <c r="B36" s="1031"/>
      <c r="C36" s="1032"/>
      <c r="D36" s="1033"/>
      <c r="E36" s="1034"/>
      <c r="F36" s="1035"/>
      <c r="G36" s="1035"/>
      <c r="H36" s="70"/>
      <c r="I36" s="1037" t="s">
        <v>632</v>
      </c>
      <c r="J36" s="1124">
        <f t="shared" si="0"/>
        <v>0</v>
      </c>
      <c r="K36" s="1125"/>
      <c r="L36" s="1036"/>
      <c r="M36" s="1034"/>
      <c r="N36" s="1038">
        <f>IF(M36="",0,ROUND(VLOOKUP(M36,Compsch!$A$10:$B$509,2),2))</f>
        <v>0</v>
      </c>
      <c r="O36" s="1038">
        <f t="shared" si="1"/>
        <v>0</v>
      </c>
      <c r="P36" s="1038">
        <f t="shared" si="3"/>
        <v>0</v>
      </c>
      <c r="Q36" s="1039">
        <v>44378</v>
      </c>
      <c r="R36" s="1040">
        <f>IFERROR(IF(Q36="",0,ROUND((VLOOKUP(M36,Compsch!$A$11:$I$390,9)-(VLOOKUP(M36,Compsch!$A$11:$I$390,7)))*(VLOOKUP(Q36,MeritSch!$A$5:$B$370,2)),0)),0)</f>
        <v>0</v>
      </c>
      <c r="S36" s="1038">
        <f t="shared" si="2"/>
        <v>0</v>
      </c>
      <c r="T36" s="1041">
        <f t="shared" si="4"/>
        <v>0</v>
      </c>
      <c r="U36" s="989">
        <f>IF(F36="y",((((N36+O36+T36)*J36)*Rates!$I$379))/24,(((N36+O36+T36)*J36)/24))</f>
        <v>0</v>
      </c>
      <c r="V36" s="1042" t="b">
        <f t="shared" si="5"/>
        <v>0</v>
      </c>
      <c r="W36" s="1043"/>
      <c r="X36" s="990">
        <f>IF(F36="y",(V36*Rates!$D$331+W36),(V36+W36))</f>
        <v>0</v>
      </c>
      <c r="Y36" s="1038">
        <f>X36*Rates!$D$339</f>
        <v>0</v>
      </c>
      <c r="Z36" s="1044">
        <f t="shared" si="7"/>
        <v>0</v>
      </c>
      <c r="AB36" s="987"/>
      <c r="AC36" s="808"/>
    </row>
    <row r="37" spans="1:29" ht="27" hidden="1" customHeight="1" x14ac:dyDescent="0.2">
      <c r="A37" s="37">
        <v>28</v>
      </c>
      <c r="B37" s="1031"/>
      <c r="C37" s="1032"/>
      <c r="D37" s="1033"/>
      <c r="E37" s="1034"/>
      <c r="F37" s="1035"/>
      <c r="G37" s="1035"/>
      <c r="H37" s="70"/>
      <c r="I37" s="1037" t="s">
        <v>632</v>
      </c>
      <c r="J37" s="1124">
        <f t="shared" si="0"/>
        <v>0</v>
      </c>
      <c r="K37" s="1125"/>
      <c r="L37" s="1036"/>
      <c r="M37" s="1034"/>
      <c r="N37" s="1038">
        <f>IF(M37="",0,ROUND(VLOOKUP(M37,Compsch!$A$10:$B$509,2),2))</f>
        <v>0</v>
      </c>
      <c r="O37" s="1038">
        <f t="shared" si="1"/>
        <v>0</v>
      </c>
      <c r="P37" s="1038">
        <f t="shared" si="3"/>
        <v>0</v>
      </c>
      <c r="Q37" s="1039">
        <v>44378</v>
      </c>
      <c r="R37" s="1040">
        <f>IFERROR(IF(Q37="",0,ROUND((VLOOKUP(M37,Compsch!$A$11:$I$390,9)-(VLOOKUP(M37,Compsch!$A$11:$I$390,7)))*(VLOOKUP(Q37,MeritSch!$A$5:$B$370,2)),0)),0)</f>
        <v>0</v>
      </c>
      <c r="S37" s="1038">
        <f t="shared" si="2"/>
        <v>0</v>
      </c>
      <c r="T37" s="1041">
        <f t="shared" si="4"/>
        <v>0</v>
      </c>
      <c r="U37" s="989">
        <f>IF(F37="y",((((N37+O37+T37)*J37)*Rates!$I$379))/24,(((N37+O37+T37)*J37)/24))</f>
        <v>0</v>
      </c>
      <c r="V37" s="1042" t="b">
        <f t="shared" si="5"/>
        <v>0</v>
      </c>
      <c r="W37" s="1043"/>
      <c r="X37" s="990">
        <f>IF(F37="y",(V37*Rates!$D$331+W37),(V37+W37))</f>
        <v>0</v>
      </c>
      <c r="Y37" s="1038">
        <f>X37*Rates!$D$339</f>
        <v>0</v>
      </c>
      <c r="Z37" s="1044">
        <f t="shared" si="7"/>
        <v>0</v>
      </c>
      <c r="AB37" s="987"/>
      <c r="AC37" s="808"/>
    </row>
    <row r="38" spans="1:29" ht="27" hidden="1" customHeight="1" x14ac:dyDescent="0.2">
      <c r="A38" s="37">
        <v>29</v>
      </c>
      <c r="B38" s="1031"/>
      <c r="C38" s="1032"/>
      <c r="D38" s="1033"/>
      <c r="E38" s="1034"/>
      <c r="F38" s="1035"/>
      <c r="G38" s="1035"/>
      <c r="H38" s="70"/>
      <c r="I38" s="1037" t="s">
        <v>632</v>
      </c>
      <c r="J38" s="1124">
        <f t="shared" si="0"/>
        <v>0</v>
      </c>
      <c r="K38" s="1125"/>
      <c r="L38" s="1036"/>
      <c r="M38" s="1034"/>
      <c r="N38" s="1038">
        <f>IF(M38="",0,ROUND(VLOOKUP(M38,Compsch!$A$10:$B$509,2),2))</f>
        <v>0</v>
      </c>
      <c r="O38" s="1038">
        <f t="shared" si="1"/>
        <v>0</v>
      </c>
      <c r="P38" s="1038">
        <f t="shared" si="3"/>
        <v>0</v>
      </c>
      <c r="Q38" s="1039">
        <v>44378</v>
      </c>
      <c r="R38" s="1040">
        <f>IFERROR(IF(Q38="",0,ROUND((VLOOKUP(M38,Compsch!$A$11:$I$390,9)-(VLOOKUP(M38,Compsch!$A$11:$I$390,7)))*(VLOOKUP(Q38,MeritSch!$A$5:$B$370,2)),0)),0)</f>
        <v>0</v>
      </c>
      <c r="S38" s="1038">
        <f t="shared" si="2"/>
        <v>0</v>
      </c>
      <c r="T38" s="1041">
        <f t="shared" si="4"/>
        <v>0</v>
      </c>
      <c r="U38" s="989">
        <f>IF(F38="y",((((N38+O38+T38)*J38)*Rates!$I$379))/24,(((N38+O38+T38)*J38)/24))</f>
        <v>0</v>
      </c>
      <c r="V38" s="1042" t="b">
        <f t="shared" si="5"/>
        <v>0</v>
      </c>
      <c r="W38" s="1043"/>
      <c r="X38" s="990">
        <f>IF(F38="y",(V38*Rates!$D$331+W38),(V38+W38))</f>
        <v>0</v>
      </c>
      <c r="Y38" s="1038">
        <f>X38*Rates!$D$339</f>
        <v>0</v>
      </c>
      <c r="Z38" s="1044">
        <f t="shared" si="7"/>
        <v>0</v>
      </c>
      <c r="AB38" s="987"/>
      <c r="AC38" s="808"/>
    </row>
    <row r="39" spans="1:29" ht="27" hidden="1" customHeight="1" x14ac:dyDescent="0.2">
      <c r="A39" s="37">
        <v>30</v>
      </c>
      <c r="B39" s="1031"/>
      <c r="C39" s="1032"/>
      <c r="D39" s="1033"/>
      <c r="E39" s="1034"/>
      <c r="F39" s="1035"/>
      <c r="G39" s="1035"/>
      <c r="H39" s="70"/>
      <c r="I39" s="1037" t="s">
        <v>632</v>
      </c>
      <c r="J39" s="1124">
        <f t="shared" si="0"/>
        <v>0</v>
      </c>
      <c r="K39" s="1125"/>
      <c r="L39" s="1036"/>
      <c r="M39" s="1034"/>
      <c r="N39" s="1038">
        <f>IF(M39="",0,ROUND(VLOOKUP(M39,Compsch!$A$10:$B$509,2),2))</f>
        <v>0</v>
      </c>
      <c r="O39" s="1038">
        <f t="shared" si="1"/>
        <v>0</v>
      </c>
      <c r="P39" s="1038">
        <f t="shared" si="3"/>
        <v>0</v>
      </c>
      <c r="Q39" s="1039">
        <v>44378</v>
      </c>
      <c r="R39" s="1040">
        <f>IFERROR(IF(Q39="",0,ROUND((VLOOKUP(M39,Compsch!$A$11:$I$390,9)-(VLOOKUP(M39,Compsch!$A$11:$I$390,7)))*(VLOOKUP(Q39,MeritSch!$A$5:$B$370,2)),0)),0)</f>
        <v>0</v>
      </c>
      <c r="S39" s="1038">
        <f t="shared" si="2"/>
        <v>0</v>
      </c>
      <c r="T39" s="1041">
        <f t="shared" si="4"/>
        <v>0</v>
      </c>
      <c r="U39" s="989">
        <f>IF(F39="y",((((N39+O39+T39)*J39)*Rates!$I$379))/24,(((N39+O39+T39)*J39)/24))</f>
        <v>0</v>
      </c>
      <c r="V39" s="1042" t="b">
        <f t="shared" si="5"/>
        <v>0</v>
      </c>
      <c r="W39" s="1043"/>
      <c r="X39" s="990">
        <f>IF(F39="y",(V39*Rates!$D$331+W39),(V39+W39))</f>
        <v>0</v>
      </c>
      <c r="Y39" s="1038">
        <f>X39*Rates!$D$339</f>
        <v>0</v>
      </c>
      <c r="Z39" s="1044">
        <f t="shared" si="7"/>
        <v>0</v>
      </c>
      <c r="AB39" s="987"/>
      <c r="AC39" s="808"/>
    </row>
    <row r="40" spans="1:29" ht="27" hidden="1" customHeight="1" x14ac:dyDescent="0.2">
      <c r="A40" s="37">
        <v>31</v>
      </c>
      <c r="B40" s="1031"/>
      <c r="C40" s="1032"/>
      <c r="D40" s="1033"/>
      <c r="E40" s="1034"/>
      <c r="F40" s="1035"/>
      <c r="G40" s="1035"/>
      <c r="H40" s="70"/>
      <c r="I40" s="1037" t="s">
        <v>632</v>
      </c>
      <c r="J40" s="1124">
        <f t="shared" si="0"/>
        <v>0</v>
      </c>
      <c r="K40" s="1125"/>
      <c r="L40" s="1036"/>
      <c r="M40" s="1034"/>
      <c r="N40" s="1038">
        <f>IF(M40="",0,ROUND(VLOOKUP(M40,Compsch!$A$10:$B$509,2),2))</f>
        <v>0</v>
      </c>
      <c r="O40" s="1038">
        <f t="shared" si="1"/>
        <v>0</v>
      </c>
      <c r="P40" s="1038">
        <f t="shared" si="3"/>
        <v>0</v>
      </c>
      <c r="Q40" s="1039">
        <v>44378</v>
      </c>
      <c r="R40" s="1040">
        <f>IFERROR(IF(Q40="",0,ROUND((VLOOKUP(M40,Compsch!$A$11:$I$390,9)-(VLOOKUP(M40,Compsch!$A$11:$I$390,7)))*(VLOOKUP(Q40,MeritSch!$A$5:$B$370,2)),0)),0)</f>
        <v>0</v>
      </c>
      <c r="S40" s="1038">
        <f t="shared" si="2"/>
        <v>0</v>
      </c>
      <c r="T40" s="1041">
        <f t="shared" si="4"/>
        <v>0</v>
      </c>
      <c r="U40" s="989">
        <f>IF(F40="y",((((N40+O40+T40)*J40)*Rates!$I$379))/24,(((N40+O40+T40)*J40)/24))</f>
        <v>0</v>
      </c>
      <c r="V40" s="1042" t="b">
        <f t="shared" si="5"/>
        <v>0</v>
      </c>
      <c r="W40" s="1043"/>
      <c r="X40" s="990">
        <f>IF(F40="y",(V40*Rates!$D$331+W40),(V40+W40))</f>
        <v>0</v>
      </c>
      <c r="Y40" s="1038">
        <f>X40*Rates!$D$339</f>
        <v>0</v>
      </c>
      <c r="Z40" s="1044">
        <f t="shared" si="7"/>
        <v>0</v>
      </c>
      <c r="AB40" s="987"/>
      <c r="AC40" s="808"/>
    </row>
    <row r="41" spans="1:29" ht="27" hidden="1" customHeight="1" x14ac:dyDescent="0.2">
      <c r="A41" s="37">
        <v>32</v>
      </c>
      <c r="B41" s="1031"/>
      <c r="C41" s="1032"/>
      <c r="D41" s="1033"/>
      <c r="E41" s="1034"/>
      <c r="F41" s="1035"/>
      <c r="G41" s="1035"/>
      <c r="H41" s="70"/>
      <c r="I41" s="1037" t="s">
        <v>632</v>
      </c>
      <c r="J41" s="1124">
        <f t="shared" si="0"/>
        <v>0</v>
      </c>
      <c r="K41" s="1125"/>
      <c r="L41" s="1036"/>
      <c r="M41" s="1034"/>
      <c r="N41" s="1038">
        <f>IF(M41="",0,ROUND(VLOOKUP(M41,Compsch!$A$10:$B$509,2),2))</f>
        <v>0</v>
      </c>
      <c r="O41" s="1038">
        <f t="shared" si="1"/>
        <v>0</v>
      </c>
      <c r="P41" s="1038">
        <f t="shared" si="3"/>
        <v>0</v>
      </c>
      <c r="Q41" s="1039">
        <v>44378</v>
      </c>
      <c r="R41" s="1040">
        <f>IFERROR(IF(Q41="",0,ROUND((VLOOKUP(M41,Compsch!$A$11:$I$390,9)-(VLOOKUP(M41,Compsch!$A$11:$I$390,7)))*(VLOOKUP(Q41,MeritSch!$A$5:$B$370,2)),0)),0)</f>
        <v>0</v>
      </c>
      <c r="S41" s="1038">
        <f t="shared" si="2"/>
        <v>0</v>
      </c>
      <c r="T41" s="1041">
        <f t="shared" si="4"/>
        <v>0</v>
      </c>
      <c r="U41" s="989">
        <f>IF(F41="y",((((N41+O41+T41)*J41)*Rates!$I$379))/24,(((N41+O41+T41)*J41)/24))</f>
        <v>0</v>
      </c>
      <c r="V41" s="1042" t="b">
        <f t="shared" si="5"/>
        <v>0</v>
      </c>
      <c r="W41" s="1043"/>
      <c r="X41" s="990">
        <f>IF(F41="y",(V41*Rates!$D$331+W41),(V41+W41))</f>
        <v>0</v>
      </c>
      <c r="Y41" s="1038">
        <f>X41*Rates!$D$339</f>
        <v>0</v>
      </c>
      <c r="Z41" s="1044">
        <f t="shared" si="7"/>
        <v>0</v>
      </c>
      <c r="AB41" s="987"/>
      <c r="AC41" s="808"/>
    </row>
    <row r="42" spans="1:29" ht="27" hidden="1" customHeight="1" x14ac:dyDescent="0.2">
      <c r="A42" s="37">
        <v>33</v>
      </c>
      <c r="B42" s="1031"/>
      <c r="C42" s="1032"/>
      <c r="D42" s="1033"/>
      <c r="E42" s="1034"/>
      <c r="F42" s="1035"/>
      <c r="G42" s="1035"/>
      <c r="H42" s="70"/>
      <c r="I42" s="1037" t="s">
        <v>632</v>
      </c>
      <c r="J42" s="1124">
        <f t="shared" si="0"/>
        <v>0</v>
      </c>
      <c r="K42" s="1125"/>
      <c r="L42" s="1036"/>
      <c r="M42" s="1034"/>
      <c r="N42" s="1038">
        <f>IF(M42="",0,ROUND(VLOOKUP(M42,Compsch!$A$10:$B$509,2),2))</f>
        <v>0</v>
      </c>
      <c r="O42" s="1038">
        <f t="shared" ref="O42:O73" si="8">N42*IF(G42="Both",0.05*2,IF(G42="",0,0.05))</f>
        <v>0</v>
      </c>
      <c r="P42" s="1038">
        <f t="shared" si="3"/>
        <v>0</v>
      </c>
      <c r="Q42" s="1039">
        <v>44378</v>
      </c>
      <c r="R42" s="1040">
        <f>IFERROR(IF(Q42="",0,ROUND((VLOOKUP(M42,Compsch!$A$11:$I$390,9)-(VLOOKUP(M42,Compsch!$A$11:$I$390,7)))*(VLOOKUP(Q42,MeritSch!$A$5:$B$370,2)),0)),0)</f>
        <v>0</v>
      </c>
      <c r="S42" s="1038">
        <f t="shared" ref="S42:S73" si="9">R42*IF(G42="Both",0.05*2,IF(G42="",0,0.05))*(I42&lt;&gt;"Y")</f>
        <v>0</v>
      </c>
      <c r="T42" s="1041">
        <f t="shared" si="4"/>
        <v>0</v>
      </c>
      <c r="U42" s="989">
        <f>IF(F42="y",((((N42+O42+T42)*J42)*Rates!$I$379))/24,(((N42+O42+T42)*J42)/24))</f>
        <v>0</v>
      </c>
      <c r="V42" s="1042" t="b">
        <f t="shared" si="5"/>
        <v>0</v>
      </c>
      <c r="W42" s="1043"/>
      <c r="X42" s="990">
        <f>IF(F42="y",(V42*Rates!$D$331+W42),(V42+W42))</f>
        <v>0</v>
      </c>
      <c r="Y42" s="1038">
        <f>X42*Rates!$D$339</f>
        <v>0</v>
      </c>
      <c r="Z42" s="1044">
        <f t="shared" ref="Z42:Z73" si="10">SUM(Y42:Y42)</f>
        <v>0</v>
      </c>
      <c r="AB42" s="987"/>
      <c r="AC42" s="808"/>
    </row>
    <row r="43" spans="1:29" ht="27" hidden="1" customHeight="1" x14ac:dyDescent="0.2">
      <c r="A43" s="37">
        <v>34</v>
      </c>
      <c r="B43" s="1031"/>
      <c r="C43" s="1032"/>
      <c r="D43" s="1033"/>
      <c r="E43" s="1034"/>
      <c r="F43" s="1035"/>
      <c r="G43" s="1035"/>
      <c r="H43" s="70"/>
      <c r="I43" s="1037" t="s">
        <v>632</v>
      </c>
      <c r="J43" s="1124">
        <f t="shared" si="0"/>
        <v>0</v>
      </c>
      <c r="K43" s="1125"/>
      <c r="L43" s="1036"/>
      <c r="M43" s="1034"/>
      <c r="N43" s="1038">
        <f>IF(M43="",0,ROUND(VLOOKUP(M43,Compsch!$A$10:$B$509,2),2))</f>
        <v>0</v>
      </c>
      <c r="O43" s="1038">
        <f t="shared" si="8"/>
        <v>0</v>
      </c>
      <c r="P43" s="1038">
        <f t="shared" si="3"/>
        <v>0</v>
      </c>
      <c r="Q43" s="1039">
        <v>44378</v>
      </c>
      <c r="R43" s="1040">
        <f>IFERROR(IF(Q43="",0,ROUND((VLOOKUP(M43,Compsch!$A$11:$I$390,9)-(VLOOKUP(M43,Compsch!$A$11:$I$390,7)))*(VLOOKUP(Q43,MeritSch!$A$5:$B$370,2)),0)),0)</f>
        <v>0</v>
      </c>
      <c r="S43" s="1038">
        <f t="shared" si="9"/>
        <v>0</v>
      </c>
      <c r="T43" s="1041">
        <f t="shared" si="4"/>
        <v>0</v>
      </c>
      <c r="U43" s="989">
        <f>IF(F43="y",((((N43+O43+T43)*J43)*Rates!$I$379))/24,(((N43+O43+T43)*J43)/24))</f>
        <v>0</v>
      </c>
      <c r="V43" s="1042" t="b">
        <f t="shared" si="5"/>
        <v>0</v>
      </c>
      <c r="W43" s="1043"/>
      <c r="X43" s="990">
        <f>IF(F43="y",(V43*Rates!$D$331+W43),(V43+W43))</f>
        <v>0</v>
      </c>
      <c r="Y43" s="1038">
        <f>X43*Rates!$D$339</f>
        <v>0</v>
      </c>
      <c r="Z43" s="1044">
        <f t="shared" si="10"/>
        <v>0</v>
      </c>
      <c r="AB43" s="987"/>
      <c r="AC43" s="808"/>
    </row>
    <row r="44" spans="1:29" ht="27" hidden="1" customHeight="1" x14ac:dyDescent="0.2">
      <c r="A44" s="37">
        <v>35</v>
      </c>
      <c r="B44" s="1031"/>
      <c r="C44" s="1032"/>
      <c r="D44" s="1033"/>
      <c r="E44" s="1034"/>
      <c r="F44" s="1035"/>
      <c r="G44" s="1035"/>
      <c r="H44" s="70"/>
      <c r="I44" s="1037" t="s">
        <v>632</v>
      </c>
      <c r="J44" s="1124">
        <f t="shared" si="0"/>
        <v>0</v>
      </c>
      <c r="K44" s="1125"/>
      <c r="L44" s="1036"/>
      <c r="M44" s="1034"/>
      <c r="N44" s="1038">
        <f>IF(M44="",0,ROUND(VLOOKUP(M44,Compsch!$A$10:$B$509,2),2))</f>
        <v>0</v>
      </c>
      <c r="O44" s="1038">
        <f t="shared" si="8"/>
        <v>0</v>
      </c>
      <c r="P44" s="1038">
        <f t="shared" si="3"/>
        <v>0</v>
      </c>
      <c r="Q44" s="1039">
        <v>44378</v>
      </c>
      <c r="R44" s="1040">
        <f>IFERROR(IF(Q44="",0,ROUND((VLOOKUP(M44,Compsch!$A$11:$I$390,9)-(VLOOKUP(M44,Compsch!$A$11:$I$390,7)))*(VLOOKUP(Q44,MeritSch!$A$5:$B$370,2)),0)),0)</f>
        <v>0</v>
      </c>
      <c r="S44" s="1038">
        <f t="shared" si="9"/>
        <v>0</v>
      </c>
      <c r="T44" s="1041">
        <f t="shared" si="4"/>
        <v>0</v>
      </c>
      <c r="U44" s="989">
        <f>IF(F44="y",((((N44+O44+T44)*J44)*Rates!$I$379))/24,(((N44+O44+T44)*J44)/24))</f>
        <v>0</v>
      </c>
      <c r="V44" s="1042" t="b">
        <f t="shared" si="5"/>
        <v>0</v>
      </c>
      <c r="W44" s="1043"/>
      <c r="X44" s="990">
        <f>IF(F44="y",(V44*Rates!$D$331+W44),(V44+W44))</f>
        <v>0</v>
      </c>
      <c r="Y44" s="1038">
        <f>X44*Rates!$D$339</f>
        <v>0</v>
      </c>
      <c r="Z44" s="1044">
        <f t="shared" si="10"/>
        <v>0</v>
      </c>
      <c r="AB44" s="987"/>
      <c r="AC44" s="808"/>
    </row>
    <row r="45" spans="1:29" ht="27" hidden="1" customHeight="1" x14ac:dyDescent="0.2">
      <c r="A45" s="37">
        <v>36</v>
      </c>
      <c r="B45" s="1031"/>
      <c r="C45" s="1032"/>
      <c r="D45" s="1033"/>
      <c r="E45" s="1034"/>
      <c r="F45" s="1035"/>
      <c r="G45" s="1035"/>
      <c r="H45" s="70"/>
      <c r="I45" s="1037" t="s">
        <v>632</v>
      </c>
      <c r="J45" s="1124">
        <f t="shared" si="0"/>
        <v>0</v>
      </c>
      <c r="K45" s="1125"/>
      <c r="L45" s="1036"/>
      <c r="M45" s="1034"/>
      <c r="N45" s="1038">
        <f>IF(M45="",0,ROUND(VLOOKUP(M45,Compsch!$A$10:$B$509,2),2))</f>
        <v>0</v>
      </c>
      <c r="O45" s="1038">
        <f t="shared" si="8"/>
        <v>0</v>
      </c>
      <c r="P45" s="1038">
        <f t="shared" si="3"/>
        <v>0</v>
      </c>
      <c r="Q45" s="1039">
        <v>44378</v>
      </c>
      <c r="R45" s="1040">
        <f>IFERROR(IF(Q45="",0,ROUND((VLOOKUP(M45,Compsch!$A$11:$I$390,9)-(VLOOKUP(M45,Compsch!$A$11:$I$390,7)))*(VLOOKUP(Q45,MeritSch!$A$5:$B$370,2)),0)),0)</f>
        <v>0</v>
      </c>
      <c r="S45" s="1038">
        <f t="shared" si="9"/>
        <v>0</v>
      </c>
      <c r="T45" s="1041">
        <f t="shared" si="4"/>
        <v>0</v>
      </c>
      <c r="U45" s="989">
        <f>IF(F45="y",((((N45+O45+T45)*J45)*Rates!$I$379))/24,(((N45+O45+T45)*J45)/24))</f>
        <v>0</v>
      </c>
      <c r="V45" s="1042" t="b">
        <f t="shared" si="5"/>
        <v>0</v>
      </c>
      <c r="W45" s="1043"/>
      <c r="X45" s="990">
        <f>IF(F45="y",(V45*Rates!$D$331+W45),(V45+W45))</f>
        <v>0</v>
      </c>
      <c r="Y45" s="1038">
        <f>X45*Rates!$D$339</f>
        <v>0</v>
      </c>
      <c r="Z45" s="1044">
        <f t="shared" si="10"/>
        <v>0</v>
      </c>
      <c r="AB45" s="987"/>
      <c r="AC45" s="808"/>
    </row>
    <row r="46" spans="1:29" ht="27" hidden="1" customHeight="1" x14ac:dyDescent="0.2">
      <c r="A46" s="37">
        <v>37</v>
      </c>
      <c r="B46" s="1031"/>
      <c r="C46" s="1032"/>
      <c r="D46" s="1033"/>
      <c r="E46" s="1034"/>
      <c r="F46" s="1035"/>
      <c r="G46" s="1035"/>
      <c r="H46" s="70"/>
      <c r="I46" s="1037" t="s">
        <v>632</v>
      </c>
      <c r="J46" s="1124">
        <f t="shared" si="0"/>
        <v>0</v>
      </c>
      <c r="K46" s="1125"/>
      <c r="L46" s="1036"/>
      <c r="M46" s="1034"/>
      <c r="N46" s="1038">
        <f>IF(M46="",0,ROUND(VLOOKUP(M46,Compsch!$A$10:$B$509,2),2))</f>
        <v>0</v>
      </c>
      <c r="O46" s="1038">
        <f t="shared" si="8"/>
        <v>0</v>
      </c>
      <c r="P46" s="1038">
        <f t="shared" si="3"/>
        <v>0</v>
      </c>
      <c r="Q46" s="1039">
        <v>44378</v>
      </c>
      <c r="R46" s="1040">
        <f>IFERROR(IF(Q46="",0,ROUND((VLOOKUP(M46,Compsch!$A$11:$I$390,9)-(VLOOKUP(M46,Compsch!$A$11:$I$390,7)))*(VLOOKUP(Q46,MeritSch!$A$5:$B$370,2)),0)),0)</f>
        <v>0</v>
      </c>
      <c r="S46" s="1038">
        <f t="shared" si="9"/>
        <v>0</v>
      </c>
      <c r="T46" s="1041">
        <f t="shared" si="4"/>
        <v>0</v>
      </c>
      <c r="U46" s="989">
        <f>IF(F46="y",((((N46+O46+T46)*J46)*Rates!$I$379))/24,(((N46+O46+T46)*J46)/24))</f>
        <v>0</v>
      </c>
      <c r="V46" s="1042" t="b">
        <f t="shared" si="5"/>
        <v>0</v>
      </c>
      <c r="W46" s="1043"/>
      <c r="X46" s="990">
        <f>IF(F46="y",(V46*Rates!$D$331+W46),(V46+W46))</f>
        <v>0</v>
      </c>
      <c r="Y46" s="1038">
        <f>X46*Rates!$D$339</f>
        <v>0</v>
      </c>
      <c r="Z46" s="1044">
        <f t="shared" si="10"/>
        <v>0</v>
      </c>
      <c r="AB46" s="987"/>
      <c r="AC46" s="808"/>
    </row>
    <row r="47" spans="1:29" ht="27" hidden="1" customHeight="1" x14ac:dyDescent="0.2">
      <c r="A47" s="37">
        <v>38</v>
      </c>
      <c r="B47" s="1031"/>
      <c r="C47" s="1032"/>
      <c r="D47" s="1033"/>
      <c r="E47" s="1034"/>
      <c r="F47" s="1035"/>
      <c r="G47" s="1035"/>
      <c r="H47" s="70"/>
      <c r="I47" s="1037" t="s">
        <v>632</v>
      </c>
      <c r="J47" s="1124">
        <f t="shared" si="0"/>
        <v>0</v>
      </c>
      <c r="K47" s="1125"/>
      <c r="L47" s="1036"/>
      <c r="M47" s="1034"/>
      <c r="N47" s="1038">
        <f>IF(M47="",0,ROUND(VLOOKUP(M47,Compsch!$A$10:$B$509,2),2))</f>
        <v>0</v>
      </c>
      <c r="O47" s="1038">
        <f t="shared" si="8"/>
        <v>0</v>
      </c>
      <c r="P47" s="1038">
        <f t="shared" si="3"/>
        <v>0</v>
      </c>
      <c r="Q47" s="1039">
        <v>44378</v>
      </c>
      <c r="R47" s="1040">
        <f>IFERROR(IF(Q47="",0,ROUND((VLOOKUP(M47,Compsch!$A$11:$I$390,9)-(VLOOKUP(M47,Compsch!$A$11:$I$390,7)))*(VLOOKUP(Q47,MeritSch!$A$5:$B$370,2)),0)),0)</f>
        <v>0</v>
      </c>
      <c r="S47" s="1038">
        <f t="shared" si="9"/>
        <v>0</v>
      </c>
      <c r="T47" s="1041">
        <f t="shared" si="4"/>
        <v>0</v>
      </c>
      <c r="U47" s="989">
        <f>IF(F47="y",((((N47+O47+T47)*J47)*Rates!$I$379))/24,(((N47+O47+T47)*J47)/24))</f>
        <v>0</v>
      </c>
      <c r="V47" s="1042" t="b">
        <f t="shared" si="5"/>
        <v>0</v>
      </c>
      <c r="W47" s="1043"/>
      <c r="X47" s="990">
        <f>IF(F47="y",(V47*Rates!$D$331+W47),(V47+W47))</f>
        <v>0</v>
      </c>
      <c r="Y47" s="1038">
        <f>X47*Rates!$D$339</f>
        <v>0</v>
      </c>
      <c r="Z47" s="1044">
        <f t="shared" si="10"/>
        <v>0</v>
      </c>
      <c r="AB47" s="987"/>
      <c r="AC47" s="808"/>
    </row>
    <row r="48" spans="1:29" ht="27" hidden="1" customHeight="1" x14ac:dyDescent="0.2">
      <c r="A48" s="37">
        <v>39</v>
      </c>
      <c r="B48" s="1031"/>
      <c r="C48" s="1032"/>
      <c r="D48" s="1033"/>
      <c r="E48" s="1034"/>
      <c r="F48" s="1035"/>
      <c r="G48" s="1035"/>
      <c r="H48" s="70"/>
      <c r="I48" s="1037" t="s">
        <v>632</v>
      </c>
      <c r="J48" s="1124">
        <f t="shared" si="0"/>
        <v>0</v>
      </c>
      <c r="K48" s="1125"/>
      <c r="L48" s="1036"/>
      <c r="M48" s="1034"/>
      <c r="N48" s="1038">
        <f>IF(M48="",0,ROUND(VLOOKUP(M48,Compsch!$A$10:$B$509,2),2))</f>
        <v>0</v>
      </c>
      <c r="O48" s="1038">
        <f t="shared" si="8"/>
        <v>0</v>
      </c>
      <c r="P48" s="1038">
        <f t="shared" si="3"/>
        <v>0</v>
      </c>
      <c r="Q48" s="1039">
        <v>44378</v>
      </c>
      <c r="R48" s="1040">
        <f>IFERROR(IF(Q48="",0,ROUND((VLOOKUP(M48,Compsch!$A$11:$I$390,9)-(VLOOKUP(M48,Compsch!$A$11:$I$390,7)))*(VLOOKUP(Q48,MeritSch!$A$5:$B$370,2)),0)),0)</f>
        <v>0</v>
      </c>
      <c r="S48" s="1038">
        <f t="shared" si="9"/>
        <v>0</v>
      </c>
      <c r="T48" s="1041">
        <f t="shared" si="4"/>
        <v>0</v>
      </c>
      <c r="U48" s="989">
        <f>IF(F48="y",((((N48+O48+T48)*J48)*Rates!$I$379))/24,(((N48+O48+T48)*J48)/24))</f>
        <v>0</v>
      </c>
      <c r="V48" s="1042" t="b">
        <f t="shared" si="5"/>
        <v>0</v>
      </c>
      <c r="W48" s="1043"/>
      <c r="X48" s="990">
        <f>IF(F48="y",(V48*Rates!$D$331+W48),(V48+W48))</f>
        <v>0</v>
      </c>
      <c r="Y48" s="1038">
        <f>X48*Rates!$D$339</f>
        <v>0</v>
      </c>
      <c r="Z48" s="1044">
        <f t="shared" si="10"/>
        <v>0</v>
      </c>
      <c r="AB48" s="987"/>
      <c r="AC48" s="808"/>
    </row>
    <row r="49" spans="1:29" ht="27" hidden="1" customHeight="1" x14ac:dyDescent="0.2">
      <c r="A49" s="37">
        <v>40</v>
      </c>
      <c r="B49" s="1031"/>
      <c r="C49" s="1032"/>
      <c r="D49" s="1033"/>
      <c r="E49" s="1034"/>
      <c r="F49" s="1035"/>
      <c r="G49" s="1035"/>
      <c r="H49" s="70"/>
      <c r="I49" s="1037" t="s">
        <v>632</v>
      </c>
      <c r="J49" s="1124">
        <f>ROUND(K49,2)</f>
        <v>0</v>
      </c>
      <c r="K49" s="1125"/>
      <c r="L49" s="1036"/>
      <c r="M49" s="1034"/>
      <c r="N49" s="1038">
        <f>IF(M49="",0,ROUND(VLOOKUP(M49,Compsch!$A$10:$B$509,2),2))</f>
        <v>0</v>
      </c>
      <c r="O49" s="1038">
        <f t="shared" si="8"/>
        <v>0</v>
      </c>
      <c r="P49" s="1038">
        <f t="shared" si="3"/>
        <v>0</v>
      </c>
      <c r="Q49" s="1039">
        <v>44378</v>
      </c>
      <c r="R49" s="1040">
        <f>IFERROR(IF(Q49="",0,ROUND((VLOOKUP(M49,Compsch!$A$11:$I$390,9)-(VLOOKUP(M49,Compsch!$A$11:$I$390,7)))*(VLOOKUP(Q49,MeritSch!$A$5:$B$370,2)),0)),0)</f>
        <v>0</v>
      </c>
      <c r="S49" s="1038">
        <f t="shared" si="9"/>
        <v>0</v>
      </c>
      <c r="T49" s="1041">
        <f t="shared" si="4"/>
        <v>0</v>
      </c>
      <c r="U49" s="989">
        <f>IF(F49="y",((((N49+O49+T49)*J49)*Rates!$I$379))/24,(((N49+O49+T49)*J49)/24))</f>
        <v>0</v>
      </c>
      <c r="V49" s="1042" t="b">
        <f t="shared" si="5"/>
        <v>0</v>
      </c>
      <c r="W49" s="1043"/>
      <c r="X49" s="990">
        <f>IF(F49="y",(V49*Rates!$D$331+W49),(V49+W49))</f>
        <v>0</v>
      </c>
      <c r="Y49" s="1038">
        <f>X49*Rates!$D$339</f>
        <v>0</v>
      </c>
      <c r="Z49" s="1044">
        <f t="shared" si="10"/>
        <v>0</v>
      </c>
      <c r="AB49" s="987"/>
      <c r="AC49" s="808"/>
    </row>
    <row r="50" spans="1:29" ht="27" hidden="1" customHeight="1" x14ac:dyDescent="0.2">
      <c r="A50" s="37">
        <v>41</v>
      </c>
      <c r="B50" s="1031"/>
      <c r="C50" s="1032"/>
      <c r="D50" s="1033"/>
      <c r="E50" s="1034"/>
      <c r="F50" s="1035"/>
      <c r="G50" s="1035"/>
      <c r="H50" s="70"/>
      <c r="I50" s="1037" t="s">
        <v>632</v>
      </c>
      <c r="J50" s="1124">
        <f t="shared" ref="J50:J109" si="11">ROUND(K50,2)</f>
        <v>0</v>
      </c>
      <c r="K50" s="1125"/>
      <c r="L50" s="1036"/>
      <c r="M50" s="1034"/>
      <c r="N50" s="1038">
        <f>IF(M50="",0,ROUND(VLOOKUP(M50,Compsch!$A$10:$B$509,2),2))</f>
        <v>0</v>
      </c>
      <c r="O50" s="1038">
        <f t="shared" si="8"/>
        <v>0</v>
      </c>
      <c r="P50" s="1038">
        <f t="shared" si="3"/>
        <v>0</v>
      </c>
      <c r="Q50" s="1039">
        <v>44378</v>
      </c>
      <c r="R50" s="1040">
        <f>IFERROR(IF(Q50="",0,ROUND((VLOOKUP(M50,Compsch!$A$11:$I$390,9)-(VLOOKUP(M50,Compsch!$A$11:$I$390,7)))*(VLOOKUP(Q50,MeritSch!$A$5:$B$370,2)),0)),0)</f>
        <v>0</v>
      </c>
      <c r="S50" s="1038">
        <f t="shared" si="9"/>
        <v>0</v>
      </c>
      <c r="T50" s="1041">
        <f t="shared" si="4"/>
        <v>0</v>
      </c>
      <c r="U50" s="989">
        <f>IF(F50="y",((((N50+O50+T50)*J50)*Rates!$I$379))/24,(((N50+O50+T50)*J50)/24))</f>
        <v>0</v>
      </c>
      <c r="V50" s="1042" t="b">
        <f t="shared" si="5"/>
        <v>0</v>
      </c>
      <c r="W50" s="1043"/>
      <c r="X50" s="990">
        <f>IF(F50="y",(V50*Rates!$D$331+W50),(V50+W50))</f>
        <v>0</v>
      </c>
      <c r="Y50" s="1038">
        <f>X50*Rates!$D$339</f>
        <v>0</v>
      </c>
      <c r="Z50" s="1044">
        <f t="shared" si="10"/>
        <v>0</v>
      </c>
      <c r="AB50" s="987"/>
      <c r="AC50" s="808"/>
    </row>
    <row r="51" spans="1:29" ht="27" hidden="1" customHeight="1" x14ac:dyDescent="0.2">
      <c r="A51" s="37">
        <v>42</v>
      </c>
      <c r="B51" s="1031"/>
      <c r="C51" s="1032"/>
      <c r="D51" s="1033"/>
      <c r="E51" s="1034"/>
      <c r="F51" s="1035"/>
      <c r="G51" s="1035"/>
      <c r="H51" s="70"/>
      <c r="I51" s="1037" t="s">
        <v>632</v>
      </c>
      <c r="J51" s="1124">
        <f t="shared" si="11"/>
        <v>0</v>
      </c>
      <c r="K51" s="1125"/>
      <c r="L51" s="1036"/>
      <c r="M51" s="1034"/>
      <c r="N51" s="1038">
        <f>IF(M51="",0,ROUND(VLOOKUP(M51,Compsch!$A$10:$B$509,2),2))</f>
        <v>0</v>
      </c>
      <c r="O51" s="1038">
        <f t="shared" si="8"/>
        <v>0</v>
      </c>
      <c r="P51" s="1038">
        <f t="shared" si="3"/>
        <v>0</v>
      </c>
      <c r="Q51" s="1039">
        <v>44378</v>
      </c>
      <c r="R51" s="1040">
        <f>IFERROR(IF(Q51="",0,ROUND((VLOOKUP(M51,Compsch!$A$11:$I$390,9)-(VLOOKUP(M51,Compsch!$A$11:$I$390,7)))*(VLOOKUP(Q51,MeritSch!$A$5:$B$370,2)),0)),0)</f>
        <v>0</v>
      </c>
      <c r="S51" s="1038">
        <f t="shared" si="9"/>
        <v>0</v>
      </c>
      <c r="T51" s="1041">
        <f t="shared" si="4"/>
        <v>0</v>
      </c>
      <c r="U51" s="989">
        <f>IF(F51="y",((((N51+O51+T51)*J51)*Rates!$I$379))/24,(((N51+O51+T51)*J51)/24))</f>
        <v>0</v>
      </c>
      <c r="V51" s="1042" t="b">
        <f t="shared" si="5"/>
        <v>0</v>
      </c>
      <c r="W51" s="1043"/>
      <c r="X51" s="990">
        <f>IF(F51="y",(V51*Rates!$D$331+W51),(V51+W51))</f>
        <v>0</v>
      </c>
      <c r="Y51" s="1038">
        <f>X51*Rates!$D$339</f>
        <v>0</v>
      </c>
      <c r="Z51" s="1044">
        <f t="shared" si="10"/>
        <v>0</v>
      </c>
      <c r="AB51" s="987"/>
      <c r="AC51" s="808"/>
    </row>
    <row r="52" spans="1:29" ht="27" hidden="1" customHeight="1" x14ac:dyDescent="0.2">
      <c r="A52" s="37">
        <v>43</v>
      </c>
      <c r="B52" s="1031"/>
      <c r="C52" s="1032"/>
      <c r="D52" s="1033"/>
      <c r="E52" s="1034"/>
      <c r="F52" s="1035"/>
      <c r="G52" s="1035"/>
      <c r="H52" s="70"/>
      <c r="I52" s="1037" t="s">
        <v>632</v>
      </c>
      <c r="J52" s="1124">
        <f t="shared" si="11"/>
        <v>0</v>
      </c>
      <c r="K52" s="1125"/>
      <c r="L52" s="1036"/>
      <c r="M52" s="1034"/>
      <c r="N52" s="1038">
        <f>IF(M52="",0,ROUND(VLOOKUP(M52,Compsch!$A$10:$B$509,2),2))</f>
        <v>0</v>
      </c>
      <c r="O52" s="1038">
        <f t="shared" si="8"/>
        <v>0</v>
      </c>
      <c r="P52" s="1038">
        <f t="shared" si="3"/>
        <v>0</v>
      </c>
      <c r="Q52" s="1039">
        <v>44378</v>
      </c>
      <c r="R52" s="1040">
        <f>IFERROR(IF(Q52="",0,ROUND((VLOOKUP(M52,Compsch!$A$11:$I$390,9)-(VLOOKUP(M52,Compsch!$A$11:$I$390,7)))*(VLOOKUP(Q52,MeritSch!$A$5:$B$370,2)),0)),0)</f>
        <v>0</v>
      </c>
      <c r="S52" s="1038">
        <f t="shared" si="9"/>
        <v>0</v>
      </c>
      <c r="T52" s="1041">
        <f t="shared" si="4"/>
        <v>0</v>
      </c>
      <c r="U52" s="989">
        <f>IF(F52="y",((((N52+O52+T52)*J52)*Rates!$I$379))/24,(((N52+O52+T52)*J52)/24))</f>
        <v>0</v>
      </c>
      <c r="V52" s="1042" t="b">
        <f t="shared" si="5"/>
        <v>0</v>
      </c>
      <c r="W52" s="1043"/>
      <c r="X52" s="990">
        <f>IF(F52="y",(V52*Rates!$D$331+W52),(V52+W52))</f>
        <v>0</v>
      </c>
      <c r="Y52" s="1038">
        <f>X52*Rates!$D$339</f>
        <v>0</v>
      </c>
      <c r="Z52" s="1044">
        <f t="shared" si="10"/>
        <v>0</v>
      </c>
      <c r="AB52" s="987"/>
      <c r="AC52" s="808"/>
    </row>
    <row r="53" spans="1:29" ht="27" hidden="1" customHeight="1" x14ac:dyDescent="0.2">
      <c r="A53" s="37">
        <v>44</v>
      </c>
      <c r="B53" s="1031"/>
      <c r="C53" s="1032"/>
      <c r="D53" s="1033"/>
      <c r="E53" s="1034"/>
      <c r="F53" s="1035"/>
      <c r="G53" s="1035"/>
      <c r="H53" s="70"/>
      <c r="I53" s="1037" t="s">
        <v>632</v>
      </c>
      <c r="J53" s="1124">
        <f t="shared" si="11"/>
        <v>0</v>
      </c>
      <c r="K53" s="1125"/>
      <c r="L53" s="1036"/>
      <c r="M53" s="1034"/>
      <c r="N53" s="1038">
        <f>IF(M53="",0,ROUND(VLOOKUP(M53,Compsch!$A$10:$B$509,2),2))</f>
        <v>0</v>
      </c>
      <c r="O53" s="1038">
        <f t="shared" si="8"/>
        <v>0</v>
      </c>
      <c r="P53" s="1038">
        <f t="shared" si="3"/>
        <v>0</v>
      </c>
      <c r="Q53" s="1039">
        <v>44378</v>
      </c>
      <c r="R53" s="1040">
        <f>IFERROR(IF(Q53="",0,ROUND((VLOOKUP(M53,Compsch!$A$11:$I$390,9)-(VLOOKUP(M53,Compsch!$A$11:$I$390,7)))*(VLOOKUP(Q53,MeritSch!$A$5:$B$370,2)),0)),0)</f>
        <v>0</v>
      </c>
      <c r="S53" s="1038">
        <f t="shared" si="9"/>
        <v>0</v>
      </c>
      <c r="T53" s="1041">
        <f t="shared" si="4"/>
        <v>0</v>
      </c>
      <c r="U53" s="989">
        <f>IF(F53="y",((((N53+O53+T53)*J53)*Rates!$I$379))/24,(((N53+O53+T53)*J53)/24))</f>
        <v>0</v>
      </c>
      <c r="V53" s="1042" t="b">
        <f t="shared" si="5"/>
        <v>0</v>
      </c>
      <c r="W53" s="1043"/>
      <c r="X53" s="990">
        <f>IF(F53="y",(V53*Rates!$D$331+W53),(V53+W53))</f>
        <v>0</v>
      </c>
      <c r="Y53" s="1038">
        <f>X53*Rates!$D$339</f>
        <v>0</v>
      </c>
      <c r="Z53" s="1044">
        <f t="shared" si="10"/>
        <v>0</v>
      </c>
      <c r="AB53" s="987"/>
      <c r="AC53" s="808"/>
    </row>
    <row r="54" spans="1:29" ht="27" hidden="1" customHeight="1" x14ac:dyDescent="0.2">
      <c r="A54" s="37">
        <v>45</v>
      </c>
      <c r="B54" s="1031"/>
      <c r="C54" s="1032"/>
      <c r="D54" s="1033"/>
      <c r="E54" s="1034"/>
      <c r="F54" s="1035"/>
      <c r="G54" s="1035"/>
      <c r="H54" s="70"/>
      <c r="I54" s="1037" t="s">
        <v>632</v>
      </c>
      <c r="J54" s="1124">
        <f t="shared" si="11"/>
        <v>0</v>
      </c>
      <c r="K54" s="1125"/>
      <c r="L54" s="1036"/>
      <c r="M54" s="1034"/>
      <c r="N54" s="1038">
        <f>IF(M54="",0,ROUND(VLOOKUP(M54,Compsch!$A$10:$B$509,2),2))</f>
        <v>0</v>
      </c>
      <c r="O54" s="1038">
        <f t="shared" si="8"/>
        <v>0</v>
      </c>
      <c r="P54" s="1038">
        <f t="shared" si="3"/>
        <v>0</v>
      </c>
      <c r="Q54" s="1039">
        <v>44378</v>
      </c>
      <c r="R54" s="1040">
        <f>IFERROR(IF(Q54="",0,ROUND((VLOOKUP(M54,Compsch!$A$11:$I$390,9)-(VLOOKUP(M54,Compsch!$A$11:$I$390,7)))*(VLOOKUP(Q54,MeritSch!$A$5:$B$370,2)),0)),0)</f>
        <v>0</v>
      </c>
      <c r="S54" s="1038">
        <f t="shared" si="9"/>
        <v>0</v>
      </c>
      <c r="T54" s="1041">
        <f t="shared" si="4"/>
        <v>0</v>
      </c>
      <c r="U54" s="989">
        <f>IF(F54="y",((((N54+O54+T54)*J54)*Rates!$I$379))/24,(((N54+O54+T54)*J54)/24))</f>
        <v>0</v>
      </c>
      <c r="V54" s="1042" t="b">
        <f t="shared" si="5"/>
        <v>0</v>
      </c>
      <c r="W54" s="1043"/>
      <c r="X54" s="990">
        <f>IF(F54="y",(V54*Rates!$D$331+W54),(V54+W54))</f>
        <v>0</v>
      </c>
      <c r="Y54" s="1038">
        <f>X54*Rates!$D$339</f>
        <v>0</v>
      </c>
      <c r="Z54" s="1044">
        <f t="shared" si="10"/>
        <v>0</v>
      </c>
      <c r="AB54" s="987"/>
      <c r="AC54" s="808"/>
    </row>
    <row r="55" spans="1:29" ht="27" hidden="1" customHeight="1" x14ac:dyDescent="0.2">
      <c r="A55" s="37">
        <v>46</v>
      </c>
      <c r="B55" s="1031"/>
      <c r="C55" s="1032"/>
      <c r="D55" s="1033"/>
      <c r="E55" s="1034"/>
      <c r="F55" s="1035"/>
      <c r="G55" s="1035"/>
      <c r="H55" s="70"/>
      <c r="I55" s="1037" t="s">
        <v>632</v>
      </c>
      <c r="J55" s="1124">
        <f t="shared" si="11"/>
        <v>0</v>
      </c>
      <c r="K55" s="1125"/>
      <c r="L55" s="1036"/>
      <c r="M55" s="1034"/>
      <c r="N55" s="1038">
        <f>IF(M55="",0,ROUND(VLOOKUP(M55,Compsch!$A$10:$B$509,2),2))</f>
        <v>0</v>
      </c>
      <c r="O55" s="1038">
        <f t="shared" si="8"/>
        <v>0</v>
      </c>
      <c r="P55" s="1038">
        <f t="shared" si="3"/>
        <v>0</v>
      </c>
      <c r="Q55" s="1039">
        <v>44378</v>
      </c>
      <c r="R55" s="1040">
        <f>IFERROR(IF(Q55="",0,ROUND((VLOOKUP(M55,Compsch!$A$11:$I$390,9)-(VLOOKUP(M55,Compsch!$A$11:$I$390,7)))*(VLOOKUP(Q55,MeritSch!$A$5:$B$370,2)),0)),0)</f>
        <v>0</v>
      </c>
      <c r="S55" s="1038">
        <f t="shared" si="9"/>
        <v>0</v>
      </c>
      <c r="T55" s="1041">
        <f t="shared" si="4"/>
        <v>0</v>
      </c>
      <c r="U55" s="989">
        <f>IF(F55="y",((((N55+O55+T55)*J55)*Rates!$I$379))/24,(((N55+O55+T55)*J55)/24))</f>
        <v>0</v>
      </c>
      <c r="V55" s="1042" t="b">
        <f t="shared" si="5"/>
        <v>0</v>
      </c>
      <c r="W55" s="1043"/>
      <c r="X55" s="990">
        <f>IF(F55="y",(V55*Rates!$D$331+W55),(V55+W55))</f>
        <v>0</v>
      </c>
      <c r="Y55" s="1038">
        <f>X55*Rates!$D$339</f>
        <v>0</v>
      </c>
      <c r="Z55" s="1044">
        <f t="shared" si="10"/>
        <v>0</v>
      </c>
      <c r="AB55" s="987"/>
      <c r="AC55" s="808"/>
    </row>
    <row r="56" spans="1:29" ht="27" hidden="1" customHeight="1" x14ac:dyDescent="0.2">
      <c r="A56" s="37">
        <v>47</v>
      </c>
      <c r="B56" s="1031"/>
      <c r="C56" s="1032"/>
      <c r="D56" s="1033"/>
      <c r="E56" s="1034"/>
      <c r="F56" s="1035"/>
      <c r="G56" s="1035"/>
      <c r="H56" s="70"/>
      <c r="I56" s="1037" t="s">
        <v>632</v>
      </c>
      <c r="J56" s="1124">
        <f t="shared" si="11"/>
        <v>0</v>
      </c>
      <c r="K56" s="1125"/>
      <c r="L56" s="1036"/>
      <c r="M56" s="1034"/>
      <c r="N56" s="1038">
        <f>IF(M56="",0,ROUND(VLOOKUP(M56,Compsch!$A$10:$B$509,2),2))</f>
        <v>0</v>
      </c>
      <c r="O56" s="1038">
        <f t="shared" si="8"/>
        <v>0</v>
      </c>
      <c r="P56" s="1038">
        <f t="shared" si="3"/>
        <v>0</v>
      </c>
      <c r="Q56" s="1039">
        <v>44378</v>
      </c>
      <c r="R56" s="1040">
        <f>IFERROR(IF(Q56="",0,ROUND((VLOOKUP(M56,Compsch!$A$11:$I$390,9)-(VLOOKUP(M56,Compsch!$A$11:$I$390,7)))*(VLOOKUP(Q56,MeritSch!$A$5:$B$370,2)),0)),0)</f>
        <v>0</v>
      </c>
      <c r="S56" s="1038">
        <f t="shared" si="9"/>
        <v>0</v>
      </c>
      <c r="T56" s="1041">
        <f t="shared" si="4"/>
        <v>0</v>
      </c>
      <c r="U56" s="989">
        <f>IF(F56="y",((((N56+O56+T56)*J56)*Rates!$I$379))/24,(((N56+O56+T56)*J56)/24))</f>
        <v>0</v>
      </c>
      <c r="V56" s="1042" t="b">
        <f t="shared" si="5"/>
        <v>0</v>
      </c>
      <c r="W56" s="1043"/>
      <c r="X56" s="990">
        <f>IF(F56="y",(V56*Rates!$D$331+W56),(V56+W56))</f>
        <v>0</v>
      </c>
      <c r="Y56" s="1038">
        <f>X56*Rates!$D$339</f>
        <v>0</v>
      </c>
      <c r="Z56" s="1044">
        <f t="shared" si="10"/>
        <v>0</v>
      </c>
      <c r="AB56" s="987"/>
      <c r="AC56" s="808"/>
    </row>
    <row r="57" spans="1:29" ht="27" hidden="1" customHeight="1" x14ac:dyDescent="0.2">
      <c r="A57" s="37">
        <v>48</v>
      </c>
      <c r="B57" s="1031"/>
      <c r="C57" s="1032"/>
      <c r="D57" s="1033"/>
      <c r="E57" s="1034"/>
      <c r="F57" s="1035"/>
      <c r="G57" s="1035"/>
      <c r="H57" s="70"/>
      <c r="I57" s="1037" t="s">
        <v>632</v>
      </c>
      <c r="J57" s="1124">
        <f t="shared" si="11"/>
        <v>0</v>
      </c>
      <c r="K57" s="1125"/>
      <c r="L57" s="1036"/>
      <c r="M57" s="1034"/>
      <c r="N57" s="1038">
        <f>IF(M57="",0,ROUND(VLOOKUP(M57,Compsch!$A$10:$B$509,2),2))</f>
        <v>0</v>
      </c>
      <c r="O57" s="1038">
        <f t="shared" si="8"/>
        <v>0</v>
      </c>
      <c r="P57" s="1038">
        <f t="shared" si="3"/>
        <v>0</v>
      </c>
      <c r="Q57" s="1039">
        <v>44378</v>
      </c>
      <c r="R57" s="1040">
        <f>IFERROR(IF(Q57="",0,ROUND((VLOOKUP(M57,Compsch!$A$11:$I$390,9)-(VLOOKUP(M57,Compsch!$A$11:$I$390,7)))*(VLOOKUP(Q57,MeritSch!$A$5:$B$370,2)),0)),0)</f>
        <v>0</v>
      </c>
      <c r="S57" s="1038">
        <f t="shared" si="9"/>
        <v>0</v>
      </c>
      <c r="T57" s="1041">
        <f t="shared" si="4"/>
        <v>0</v>
      </c>
      <c r="U57" s="989">
        <f>IF(F57="y",((((N57+O57+T57)*J57)*Rates!$I$379))/24,(((N57+O57+T57)*J57)/24))</f>
        <v>0</v>
      </c>
      <c r="V57" s="1042" t="b">
        <f t="shared" si="5"/>
        <v>0</v>
      </c>
      <c r="W57" s="1043"/>
      <c r="X57" s="990">
        <f>IF(F57="y",(V57*Rates!$D$331+W57),(V57+W57))</f>
        <v>0</v>
      </c>
      <c r="Y57" s="1038">
        <f>X57*Rates!$D$339</f>
        <v>0</v>
      </c>
      <c r="Z57" s="1044">
        <f t="shared" si="10"/>
        <v>0</v>
      </c>
      <c r="AB57" s="987"/>
      <c r="AC57" s="808"/>
    </row>
    <row r="58" spans="1:29" ht="27" hidden="1" customHeight="1" x14ac:dyDescent="0.2">
      <c r="A58" s="37">
        <v>49</v>
      </c>
      <c r="B58" s="1031"/>
      <c r="C58" s="1032"/>
      <c r="D58" s="1033"/>
      <c r="E58" s="1034"/>
      <c r="F58" s="1035"/>
      <c r="G58" s="1035"/>
      <c r="H58" s="70"/>
      <c r="I58" s="1037" t="s">
        <v>632</v>
      </c>
      <c r="J58" s="1124">
        <f t="shared" si="11"/>
        <v>0</v>
      </c>
      <c r="K58" s="1125"/>
      <c r="L58" s="1036"/>
      <c r="M58" s="1034"/>
      <c r="N58" s="1038">
        <f>IF(M58="",0,ROUND(VLOOKUP(M58,Compsch!$A$10:$B$509,2),2))</f>
        <v>0</v>
      </c>
      <c r="O58" s="1038">
        <f t="shared" si="8"/>
        <v>0</v>
      </c>
      <c r="P58" s="1038">
        <f t="shared" si="3"/>
        <v>0</v>
      </c>
      <c r="Q58" s="1039">
        <v>44378</v>
      </c>
      <c r="R58" s="1040">
        <f>IFERROR(IF(Q58="",0,ROUND((VLOOKUP(M58,Compsch!$A$11:$I$390,9)-(VLOOKUP(M58,Compsch!$A$11:$I$390,7)))*(VLOOKUP(Q58,MeritSch!$A$5:$B$370,2)),0)),0)</f>
        <v>0</v>
      </c>
      <c r="S58" s="1038">
        <f t="shared" si="9"/>
        <v>0</v>
      </c>
      <c r="T58" s="1041">
        <f t="shared" si="4"/>
        <v>0</v>
      </c>
      <c r="U58" s="989">
        <f>IF(F58="y",((((N58+O58+T58)*J58)*Rates!$I$379))/24,(((N58+O58+T58)*J58)/24))</f>
        <v>0</v>
      </c>
      <c r="V58" s="1042" t="b">
        <f t="shared" si="5"/>
        <v>0</v>
      </c>
      <c r="W58" s="1043"/>
      <c r="X58" s="990">
        <f>IF(F58="y",(V58*Rates!$D$331+W58),(V58+W58))</f>
        <v>0</v>
      </c>
      <c r="Y58" s="1038">
        <f>X58*Rates!$D$339</f>
        <v>0</v>
      </c>
      <c r="Z58" s="1044">
        <f t="shared" si="10"/>
        <v>0</v>
      </c>
      <c r="AB58" s="987"/>
      <c r="AC58" s="808"/>
    </row>
    <row r="59" spans="1:29" ht="27" hidden="1" customHeight="1" x14ac:dyDescent="0.2">
      <c r="A59" s="37">
        <v>50</v>
      </c>
      <c r="B59" s="1031"/>
      <c r="C59" s="1032"/>
      <c r="D59" s="1033"/>
      <c r="E59" s="1034"/>
      <c r="F59" s="1035"/>
      <c r="G59" s="1035"/>
      <c r="H59" s="70"/>
      <c r="I59" s="1037" t="s">
        <v>632</v>
      </c>
      <c r="J59" s="1124">
        <f t="shared" si="11"/>
        <v>0</v>
      </c>
      <c r="K59" s="1125"/>
      <c r="L59" s="1036"/>
      <c r="M59" s="1034"/>
      <c r="N59" s="1038">
        <f>IF(M59="",0,ROUND(VLOOKUP(M59,Compsch!$A$10:$B$509,2),2))</f>
        <v>0</v>
      </c>
      <c r="O59" s="1038">
        <f t="shared" si="8"/>
        <v>0</v>
      </c>
      <c r="P59" s="1038">
        <f t="shared" si="3"/>
        <v>0</v>
      </c>
      <c r="Q59" s="1039">
        <v>44378</v>
      </c>
      <c r="R59" s="1040">
        <f>IFERROR(IF(Q59="",0,ROUND((VLOOKUP(M59,Compsch!$A$11:$I$390,9)-(VLOOKUP(M59,Compsch!$A$11:$I$390,7)))*(VLOOKUP(Q59,MeritSch!$A$5:$B$370,2)),0)),0)</f>
        <v>0</v>
      </c>
      <c r="S59" s="1038">
        <f t="shared" si="9"/>
        <v>0</v>
      </c>
      <c r="T59" s="1041">
        <f t="shared" si="4"/>
        <v>0</v>
      </c>
      <c r="U59" s="989">
        <f>IF(F59="y",((((N59+O59+T59)*J59)*Rates!$I$379))/24,(((N59+O59+T59)*J59)/24))</f>
        <v>0</v>
      </c>
      <c r="V59" s="1042" t="b">
        <f t="shared" si="5"/>
        <v>0</v>
      </c>
      <c r="W59" s="1043"/>
      <c r="X59" s="990">
        <f>IF(F59="y",(V59*Rates!$D$331+W59),(V59+W59))</f>
        <v>0</v>
      </c>
      <c r="Y59" s="1038">
        <f>X59*Rates!$D$339</f>
        <v>0</v>
      </c>
      <c r="Z59" s="1044">
        <f t="shared" si="10"/>
        <v>0</v>
      </c>
      <c r="AB59" s="987"/>
      <c r="AC59" s="808"/>
    </row>
    <row r="60" spans="1:29" ht="27" hidden="1" customHeight="1" x14ac:dyDescent="0.2">
      <c r="A60" s="37">
        <v>51</v>
      </c>
      <c r="B60" s="1031"/>
      <c r="C60" s="1032"/>
      <c r="D60" s="1033"/>
      <c r="E60" s="1034"/>
      <c r="F60" s="1035"/>
      <c r="G60" s="1035"/>
      <c r="H60" s="70"/>
      <c r="I60" s="1037" t="s">
        <v>632</v>
      </c>
      <c r="J60" s="1124">
        <f t="shared" si="11"/>
        <v>0</v>
      </c>
      <c r="K60" s="1125"/>
      <c r="L60" s="1036"/>
      <c r="M60" s="1034"/>
      <c r="N60" s="1038">
        <f>IF(M60="",0,ROUND(VLOOKUP(M60,Compsch!$A$10:$B$509,2),2))</f>
        <v>0</v>
      </c>
      <c r="O60" s="1038">
        <f t="shared" si="8"/>
        <v>0</v>
      </c>
      <c r="P60" s="1038">
        <f t="shared" si="3"/>
        <v>0</v>
      </c>
      <c r="Q60" s="1039">
        <v>44378</v>
      </c>
      <c r="R60" s="1040">
        <f>IFERROR(IF(Q60="",0,ROUND((VLOOKUP(M60,Compsch!$A$11:$I$390,9)-(VLOOKUP(M60,Compsch!$A$11:$I$390,7)))*(VLOOKUP(Q60,MeritSch!$A$5:$B$370,2)),0)),0)</f>
        <v>0</v>
      </c>
      <c r="S60" s="1038">
        <f t="shared" si="9"/>
        <v>0</v>
      </c>
      <c r="T60" s="1041">
        <f t="shared" si="4"/>
        <v>0</v>
      </c>
      <c r="U60" s="989">
        <f>IF(F60="y",((((N60+O60+T60)*J60)*Rates!$I$379))/24,(((N60+O60+T60)*J60)/24))</f>
        <v>0</v>
      </c>
      <c r="V60" s="1042" t="b">
        <f t="shared" si="5"/>
        <v>0</v>
      </c>
      <c r="W60" s="1043"/>
      <c r="X60" s="990">
        <f>IF(F60="y",(V60*Rates!$D$331+W60),(V60+W60))</f>
        <v>0</v>
      </c>
      <c r="Y60" s="1038">
        <f>X60*Rates!$D$339</f>
        <v>0</v>
      </c>
      <c r="Z60" s="1044">
        <f t="shared" si="10"/>
        <v>0</v>
      </c>
      <c r="AB60" s="987"/>
      <c r="AC60" s="808"/>
    </row>
    <row r="61" spans="1:29" ht="27" hidden="1" customHeight="1" x14ac:dyDescent="0.2">
      <c r="A61" s="37">
        <v>52</v>
      </c>
      <c r="B61" s="1031"/>
      <c r="C61" s="1032"/>
      <c r="D61" s="1033"/>
      <c r="E61" s="1034"/>
      <c r="F61" s="1035"/>
      <c r="G61" s="1035"/>
      <c r="H61" s="70"/>
      <c r="I61" s="1037" t="s">
        <v>632</v>
      </c>
      <c r="J61" s="1124">
        <f t="shared" si="11"/>
        <v>0</v>
      </c>
      <c r="K61" s="1125"/>
      <c r="L61" s="1036"/>
      <c r="M61" s="1034"/>
      <c r="N61" s="1038">
        <f>IF(M61="",0,ROUND(VLOOKUP(M61,Compsch!$A$10:$B$509,2),2))</f>
        <v>0</v>
      </c>
      <c r="O61" s="1038">
        <f t="shared" si="8"/>
        <v>0</v>
      </c>
      <c r="P61" s="1038">
        <f t="shared" si="3"/>
        <v>0</v>
      </c>
      <c r="Q61" s="1039">
        <v>44378</v>
      </c>
      <c r="R61" s="1040">
        <f>IFERROR(IF(Q61="",0,ROUND((VLOOKUP(M61,Compsch!$A$11:$I$390,9)-(VLOOKUP(M61,Compsch!$A$11:$I$390,7)))*(VLOOKUP(Q61,MeritSch!$A$5:$B$370,2)),0)),0)</f>
        <v>0</v>
      </c>
      <c r="S61" s="1038">
        <f t="shared" si="9"/>
        <v>0</v>
      </c>
      <c r="T61" s="1041">
        <f t="shared" si="4"/>
        <v>0</v>
      </c>
      <c r="U61" s="989">
        <f>IF(F61="y",((((N61+O61+T61)*J61)*Rates!$I$379))/24,(((N61+O61+T61)*J61)/24))</f>
        <v>0</v>
      </c>
      <c r="V61" s="1042" t="b">
        <f t="shared" si="5"/>
        <v>0</v>
      </c>
      <c r="W61" s="1043"/>
      <c r="X61" s="990">
        <f>IF(F61="y",(V61*Rates!$D$331+W61),(V61+W61))</f>
        <v>0</v>
      </c>
      <c r="Y61" s="1038">
        <f>X61*Rates!$D$339</f>
        <v>0</v>
      </c>
      <c r="Z61" s="1044">
        <f t="shared" si="10"/>
        <v>0</v>
      </c>
      <c r="AB61" s="987"/>
      <c r="AC61" s="808"/>
    </row>
    <row r="62" spans="1:29" ht="27" hidden="1" customHeight="1" x14ac:dyDescent="0.2">
      <c r="A62" s="37">
        <v>53</v>
      </c>
      <c r="B62" s="1031"/>
      <c r="C62" s="1032"/>
      <c r="D62" s="1033"/>
      <c r="E62" s="1034"/>
      <c r="F62" s="1035"/>
      <c r="G62" s="1035"/>
      <c r="H62" s="70"/>
      <c r="I62" s="1037" t="s">
        <v>632</v>
      </c>
      <c r="J62" s="1124">
        <f t="shared" si="11"/>
        <v>0</v>
      </c>
      <c r="K62" s="1125"/>
      <c r="L62" s="1036"/>
      <c r="M62" s="1034"/>
      <c r="N62" s="1038">
        <f>IF(M62="",0,ROUND(VLOOKUP(M62,Compsch!$A$10:$B$509,2),2))</f>
        <v>0</v>
      </c>
      <c r="O62" s="1038">
        <f t="shared" si="8"/>
        <v>0</v>
      </c>
      <c r="P62" s="1038">
        <f t="shared" si="3"/>
        <v>0</v>
      </c>
      <c r="Q62" s="1039">
        <v>44378</v>
      </c>
      <c r="R62" s="1040">
        <f>IFERROR(IF(Q62="",0,ROUND((VLOOKUP(M62,Compsch!$A$11:$I$390,9)-(VLOOKUP(M62,Compsch!$A$11:$I$390,7)))*(VLOOKUP(Q62,MeritSch!$A$5:$B$370,2)),0)),0)</f>
        <v>0</v>
      </c>
      <c r="S62" s="1038">
        <f t="shared" si="9"/>
        <v>0</v>
      </c>
      <c r="T62" s="1041">
        <f t="shared" si="4"/>
        <v>0</v>
      </c>
      <c r="U62" s="989">
        <f>IF(F62="y",((((N62+O62+T62)*J62)*Rates!$I$379))/24,(((N62+O62+T62)*J62)/24))</f>
        <v>0</v>
      </c>
      <c r="V62" s="1042" t="b">
        <f t="shared" si="5"/>
        <v>0</v>
      </c>
      <c r="W62" s="1043"/>
      <c r="X62" s="990">
        <f>IF(F62="y",(V62*Rates!$D$331+W62),(V62+W62))</f>
        <v>0</v>
      </c>
      <c r="Y62" s="1038">
        <f>X62*Rates!$D$339</f>
        <v>0</v>
      </c>
      <c r="Z62" s="1044">
        <f t="shared" si="10"/>
        <v>0</v>
      </c>
      <c r="AB62" s="987"/>
      <c r="AC62" s="808"/>
    </row>
    <row r="63" spans="1:29" ht="27" hidden="1" customHeight="1" x14ac:dyDescent="0.2">
      <c r="A63" s="37">
        <v>54</v>
      </c>
      <c r="B63" s="1031"/>
      <c r="C63" s="1032"/>
      <c r="D63" s="1033"/>
      <c r="E63" s="1034"/>
      <c r="F63" s="1035"/>
      <c r="G63" s="1035"/>
      <c r="H63" s="70"/>
      <c r="I63" s="1037" t="s">
        <v>632</v>
      </c>
      <c r="J63" s="1124">
        <f t="shared" si="11"/>
        <v>0</v>
      </c>
      <c r="K63" s="1125"/>
      <c r="L63" s="1036"/>
      <c r="M63" s="1034"/>
      <c r="N63" s="1038">
        <f>IF(M63="",0,ROUND(VLOOKUP(M63,Compsch!$A$10:$B$509,2),2))</f>
        <v>0</v>
      </c>
      <c r="O63" s="1038">
        <f t="shared" si="8"/>
        <v>0</v>
      </c>
      <c r="P63" s="1038">
        <f t="shared" si="3"/>
        <v>0</v>
      </c>
      <c r="Q63" s="1039">
        <v>44378</v>
      </c>
      <c r="R63" s="1040">
        <f>IFERROR(IF(Q63="",0,ROUND((VLOOKUP(M63,Compsch!$A$11:$I$390,9)-(VLOOKUP(M63,Compsch!$A$11:$I$390,7)))*(VLOOKUP(Q63,MeritSch!$A$5:$B$370,2)),0)),0)</f>
        <v>0</v>
      </c>
      <c r="S63" s="1038">
        <f t="shared" si="9"/>
        <v>0</v>
      </c>
      <c r="T63" s="1041">
        <f t="shared" si="4"/>
        <v>0</v>
      </c>
      <c r="U63" s="989">
        <f>IF(F63="y",((((N63+O63+T63)*J63)*Rates!$I$379))/24,(((N63+O63+T63)*J63)/24))</f>
        <v>0</v>
      </c>
      <c r="V63" s="1042" t="b">
        <f t="shared" si="5"/>
        <v>0</v>
      </c>
      <c r="W63" s="1043"/>
      <c r="X63" s="990">
        <f>IF(F63="y",(V63*Rates!$D$331+W63),(V63+W63))</f>
        <v>0</v>
      </c>
      <c r="Y63" s="1038">
        <f>X63*Rates!$D$339</f>
        <v>0</v>
      </c>
      <c r="Z63" s="1044">
        <f t="shared" si="10"/>
        <v>0</v>
      </c>
      <c r="AB63" s="987"/>
      <c r="AC63" s="808"/>
    </row>
    <row r="64" spans="1:29" ht="27" hidden="1" customHeight="1" x14ac:dyDescent="0.2">
      <c r="A64" s="37">
        <v>55</v>
      </c>
      <c r="B64" s="1031"/>
      <c r="C64" s="1032"/>
      <c r="D64" s="1033"/>
      <c r="E64" s="1034"/>
      <c r="F64" s="1035"/>
      <c r="G64" s="1035"/>
      <c r="H64" s="70"/>
      <c r="I64" s="1037" t="s">
        <v>632</v>
      </c>
      <c r="J64" s="1124">
        <f t="shared" si="11"/>
        <v>0</v>
      </c>
      <c r="K64" s="1125"/>
      <c r="L64" s="1036"/>
      <c r="M64" s="1034"/>
      <c r="N64" s="1038">
        <f>IF(M64="",0,ROUND(VLOOKUP(M64,Compsch!$A$10:$B$509,2),2))</f>
        <v>0</v>
      </c>
      <c r="O64" s="1038">
        <f t="shared" si="8"/>
        <v>0</v>
      </c>
      <c r="P64" s="1038">
        <f t="shared" si="3"/>
        <v>0</v>
      </c>
      <c r="Q64" s="1039">
        <v>44378</v>
      </c>
      <c r="R64" s="1040">
        <f>IFERROR(IF(Q64="",0,ROUND((VLOOKUP(M64,Compsch!$A$11:$I$390,9)-(VLOOKUP(M64,Compsch!$A$11:$I$390,7)))*(VLOOKUP(Q64,MeritSch!$A$5:$B$370,2)),0)),0)</f>
        <v>0</v>
      </c>
      <c r="S64" s="1038">
        <f t="shared" si="9"/>
        <v>0</v>
      </c>
      <c r="T64" s="1041">
        <f t="shared" si="4"/>
        <v>0</v>
      </c>
      <c r="U64" s="989">
        <f>IF(F64="y",((((N64+O64+T64)*J64)*Rates!$I$379))/24,(((N64+O64+T64)*J64)/24))</f>
        <v>0</v>
      </c>
      <c r="V64" s="1042" t="b">
        <f t="shared" si="5"/>
        <v>0</v>
      </c>
      <c r="W64" s="1043"/>
      <c r="X64" s="990">
        <f>IF(F64="y",(V64*Rates!$D$331+W64),(V64+W64))</f>
        <v>0</v>
      </c>
      <c r="Y64" s="1038">
        <f>X64*Rates!$D$339</f>
        <v>0</v>
      </c>
      <c r="Z64" s="1044">
        <f t="shared" si="10"/>
        <v>0</v>
      </c>
      <c r="AB64" s="987"/>
      <c r="AC64" s="808"/>
    </row>
    <row r="65" spans="1:29" ht="27" hidden="1" customHeight="1" x14ac:dyDescent="0.2">
      <c r="A65" s="37">
        <v>56</v>
      </c>
      <c r="B65" s="1031"/>
      <c r="C65" s="1032"/>
      <c r="D65" s="1033"/>
      <c r="E65" s="1034"/>
      <c r="F65" s="1035"/>
      <c r="G65" s="1035"/>
      <c r="H65" s="70"/>
      <c r="I65" s="1037" t="s">
        <v>632</v>
      </c>
      <c r="J65" s="1124">
        <f t="shared" si="11"/>
        <v>0</v>
      </c>
      <c r="K65" s="1125"/>
      <c r="L65" s="1036"/>
      <c r="M65" s="1034"/>
      <c r="N65" s="1038">
        <f>IF(M65="",0,ROUND(VLOOKUP(M65,Compsch!$A$10:$B$509,2),2))</f>
        <v>0</v>
      </c>
      <c r="O65" s="1038">
        <f t="shared" si="8"/>
        <v>0</v>
      </c>
      <c r="P65" s="1038">
        <f t="shared" si="3"/>
        <v>0</v>
      </c>
      <c r="Q65" s="1039">
        <v>44378</v>
      </c>
      <c r="R65" s="1040">
        <f>IFERROR(IF(Q65="",0,ROUND((VLOOKUP(M65,Compsch!$A$11:$I$390,9)-(VLOOKUP(M65,Compsch!$A$11:$I$390,7)))*(VLOOKUP(Q65,MeritSch!$A$5:$B$370,2)),0)),0)</f>
        <v>0</v>
      </c>
      <c r="S65" s="1038">
        <f t="shared" si="9"/>
        <v>0</v>
      </c>
      <c r="T65" s="1041">
        <f t="shared" si="4"/>
        <v>0</v>
      </c>
      <c r="U65" s="989">
        <f>IF(F65="y",((((N65+O65+T65)*J65)*Rates!$I$379))/24,(((N65+O65+T65)*J65)/24))</f>
        <v>0</v>
      </c>
      <c r="V65" s="1042" t="b">
        <f t="shared" si="5"/>
        <v>0</v>
      </c>
      <c r="W65" s="1043"/>
      <c r="X65" s="990">
        <f>IF(F65="y",(V65*Rates!$D$331+W65),(V65+W65))</f>
        <v>0</v>
      </c>
      <c r="Y65" s="1038">
        <f>X65*Rates!$D$339</f>
        <v>0</v>
      </c>
      <c r="Z65" s="1044">
        <f t="shared" si="10"/>
        <v>0</v>
      </c>
      <c r="AB65" s="987"/>
      <c r="AC65" s="808"/>
    </row>
    <row r="66" spans="1:29" ht="27" hidden="1" customHeight="1" x14ac:dyDescent="0.2">
      <c r="A66" s="37">
        <v>57</v>
      </c>
      <c r="B66" s="1031"/>
      <c r="C66" s="1032"/>
      <c r="D66" s="1033"/>
      <c r="E66" s="1034"/>
      <c r="F66" s="1035"/>
      <c r="G66" s="1035"/>
      <c r="H66" s="70"/>
      <c r="I66" s="1037" t="s">
        <v>632</v>
      </c>
      <c r="J66" s="1124">
        <f t="shared" si="11"/>
        <v>0</v>
      </c>
      <c r="K66" s="1125"/>
      <c r="L66" s="1036"/>
      <c r="M66" s="1034"/>
      <c r="N66" s="1038">
        <f>IF(M66="",0,ROUND(VLOOKUP(M66,Compsch!$A$10:$B$509,2),2))</f>
        <v>0</v>
      </c>
      <c r="O66" s="1038">
        <f t="shared" si="8"/>
        <v>0</v>
      </c>
      <c r="P66" s="1038">
        <f t="shared" si="3"/>
        <v>0</v>
      </c>
      <c r="Q66" s="1039">
        <v>44378</v>
      </c>
      <c r="R66" s="1040">
        <f>IFERROR(IF(Q66="",0,ROUND((VLOOKUP(M66,Compsch!$A$11:$I$390,9)-(VLOOKUP(M66,Compsch!$A$11:$I$390,7)))*(VLOOKUP(Q66,MeritSch!$A$5:$B$370,2)),0)),0)</f>
        <v>0</v>
      </c>
      <c r="S66" s="1038">
        <f t="shared" si="9"/>
        <v>0</v>
      </c>
      <c r="T66" s="1041">
        <f t="shared" si="4"/>
        <v>0</v>
      </c>
      <c r="U66" s="989">
        <f>IF(F66="y",((((N66+O66+T66)*J66)*Rates!$I$379))/24,(((N66+O66+T66)*J66)/24))</f>
        <v>0</v>
      </c>
      <c r="V66" s="1042" t="b">
        <f t="shared" si="5"/>
        <v>0</v>
      </c>
      <c r="W66" s="1043"/>
      <c r="X66" s="990">
        <f>IF(F66="y",(V66*Rates!$D$331+W66),(V66+W66))</f>
        <v>0</v>
      </c>
      <c r="Y66" s="1038">
        <f>X66*Rates!$D$339</f>
        <v>0</v>
      </c>
      <c r="Z66" s="1044">
        <f t="shared" si="10"/>
        <v>0</v>
      </c>
      <c r="AB66" s="987"/>
      <c r="AC66" s="808"/>
    </row>
    <row r="67" spans="1:29" ht="27" hidden="1" customHeight="1" x14ac:dyDescent="0.2">
      <c r="A67" s="37">
        <v>58</v>
      </c>
      <c r="B67" s="1031"/>
      <c r="C67" s="1032"/>
      <c r="D67" s="1033"/>
      <c r="E67" s="1034"/>
      <c r="F67" s="1035"/>
      <c r="G67" s="1035"/>
      <c r="H67" s="70"/>
      <c r="I67" s="1037" t="s">
        <v>632</v>
      </c>
      <c r="J67" s="1124">
        <f t="shared" si="11"/>
        <v>0</v>
      </c>
      <c r="K67" s="1125"/>
      <c r="L67" s="1036"/>
      <c r="M67" s="1034"/>
      <c r="N67" s="1038">
        <f>IF(M67="",0,ROUND(VLOOKUP(M67,Compsch!$A$10:$B$509,2),2))</f>
        <v>0</v>
      </c>
      <c r="O67" s="1038">
        <f t="shared" si="8"/>
        <v>0</v>
      </c>
      <c r="P67" s="1038">
        <f t="shared" si="3"/>
        <v>0</v>
      </c>
      <c r="Q67" s="1039">
        <v>44378</v>
      </c>
      <c r="R67" s="1040">
        <f>IFERROR(IF(Q67="",0,ROUND((VLOOKUP(M67,Compsch!$A$11:$I$390,9)-(VLOOKUP(M67,Compsch!$A$11:$I$390,7)))*(VLOOKUP(Q67,MeritSch!$A$5:$B$370,2)),0)),0)</f>
        <v>0</v>
      </c>
      <c r="S67" s="1038">
        <f t="shared" si="9"/>
        <v>0</v>
      </c>
      <c r="T67" s="1041">
        <f t="shared" si="4"/>
        <v>0</v>
      </c>
      <c r="U67" s="989">
        <f>IF(F67="y",((((N67+O67+T67)*J67)*Rates!$I$379))/24,(((N67+O67+T67)*J67)/24))</f>
        <v>0</v>
      </c>
      <c r="V67" s="1042" t="b">
        <f t="shared" si="5"/>
        <v>0</v>
      </c>
      <c r="W67" s="1043"/>
      <c r="X67" s="990">
        <f>IF(F67="y",(V67*Rates!$D$331+W67),(V67+W67))</f>
        <v>0</v>
      </c>
      <c r="Y67" s="1038">
        <f>X67*Rates!$D$339</f>
        <v>0</v>
      </c>
      <c r="Z67" s="1044">
        <f t="shared" si="10"/>
        <v>0</v>
      </c>
      <c r="AB67" s="987"/>
      <c r="AC67" s="808"/>
    </row>
    <row r="68" spans="1:29" ht="27" hidden="1" customHeight="1" x14ac:dyDescent="0.2">
      <c r="A68" s="37">
        <v>59</v>
      </c>
      <c r="B68" s="1031"/>
      <c r="C68" s="1032"/>
      <c r="D68" s="1033"/>
      <c r="E68" s="1034"/>
      <c r="F68" s="1035"/>
      <c r="G68" s="1035"/>
      <c r="H68" s="70"/>
      <c r="I68" s="1037" t="s">
        <v>632</v>
      </c>
      <c r="J68" s="1124">
        <f t="shared" si="11"/>
        <v>0</v>
      </c>
      <c r="K68" s="1125"/>
      <c r="L68" s="1036"/>
      <c r="M68" s="1034"/>
      <c r="N68" s="1038">
        <f>IF(M68="",0,ROUND(VLOOKUP(M68,Compsch!$A$10:$B$509,2),2))</f>
        <v>0</v>
      </c>
      <c r="O68" s="1038">
        <f t="shared" si="8"/>
        <v>0</v>
      </c>
      <c r="P68" s="1038">
        <f t="shared" si="3"/>
        <v>0</v>
      </c>
      <c r="Q68" s="1039">
        <v>44378</v>
      </c>
      <c r="R68" s="1040">
        <f>IFERROR(IF(Q68="",0,ROUND((VLOOKUP(M68,Compsch!$A$11:$I$390,9)-(VLOOKUP(M68,Compsch!$A$11:$I$390,7)))*(VLOOKUP(Q68,MeritSch!$A$5:$B$370,2)),0)),0)</f>
        <v>0</v>
      </c>
      <c r="S68" s="1038">
        <f t="shared" si="9"/>
        <v>0</v>
      </c>
      <c r="T68" s="1041">
        <f t="shared" si="4"/>
        <v>0</v>
      </c>
      <c r="U68" s="989">
        <f>IF(F68="y",((((N68+O68+T68)*J68)*Rates!$I$379))/24,(((N68+O68+T68)*J68)/24))</f>
        <v>0</v>
      </c>
      <c r="V68" s="1042" t="b">
        <f t="shared" si="5"/>
        <v>0</v>
      </c>
      <c r="W68" s="1043"/>
      <c r="X68" s="990">
        <f>IF(F68="y",(V68*Rates!$D$331+W68),(V68+W68))</f>
        <v>0</v>
      </c>
      <c r="Y68" s="1038">
        <f>X68*Rates!$D$339</f>
        <v>0</v>
      </c>
      <c r="Z68" s="1044">
        <f t="shared" si="10"/>
        <v>0</v>
      </c>
      <c r="AB68" s="987"/>
      <c r="AC68" s="808"/>
    </row>
    <row r="69" spans="1:29" ht="27" hidden="1" customHeight="1" x14ac:dyDescent="0.2">
      <c r="A69" s="37">
        <v>60</v>
      </c>
      <c r="B69" s="1031"/>
      <c r="C69" s="1032"/>
      <c r="D69" s="1033"/>
      <c r="E69" s="1034"/>
      <c r="F69" s="1035"/>
      <c r="G69" s="1035"/>
      <c r="H69" s="70"/>
      <c r="I69" s="1037" t="s">
        <v>632</v>
      </c>
      <c r="J69" s="1124">
        <f t="shared" si="11"/>
        <v>0</v>
      </c>
      <c r="K69" s="1125"/>
      <c r="L69" s="1036"/>
      <c r="M69" s="1034"/>
      <c r="N69" s="1038">
        <f>IF(M69="",0,ROUND(VLOOKUP(M69,Compsch!$A$10:$B$509,2),2))</f>
        <v>0</v>
      </c>
      <c r="O69" s="1038">
        <f t="shared" si="8"/>
        <v>0</v>
      </c>
      <c r="P69" s="1038">
        <f t="shared" si="3"/>
        <v>0</v>
      </c>
      <c r="Q69" s="1039">
        <v>44378</v>
      </c>
      <c r="R69" s="1040">
        <f>IFERROR(IF(Q69="",0,ROUND((VLOOKUP(M69,Compsch!$A$11:$I$390,9)-(VLOOKUP(M69,Compsch!$A$11:$I$390,7)))*(VLOOKUP(Q69,MeritSch!$A$5:$B$370,2)),0)),0)</f>
        <v>0</v>
      </c>
      <c r="S69" s="1038">
        <f t="shared" si="9"/>
        <v>0</v>
      </c>
      <c r="T69" s="1041">
        <f t="shared" si="4"/>
        <v>0</v>
      </c>
      <c r="U69" s="989">
        <f>IF(F69="y",((((N69+O69+T69)*J69)*Rates!$I$379))/24,(((N69+O69+T69)*J69)/24))</f>
        <v>0</v>
      </c>
      <c r="V69" s="1042" t="b">
        <f t="shared" si="5"/>
        <v>0</v>
      </c>
      <c r="W69" s="1043"/>
      <c r="X69" s="990">
        <f>IF(F69="y",(V69*Rates!$D$331+W69),(V69+W69))</f>
        <v>0</v>
      </c>
      <c r="Y69" s="1038">
        <f>X69*Rates!$D$339</f>
        <v>0</v>
      </c>
      <c r="Z69" s="1044">
        <f t="shared" si="10"/>
        <v>0</v>
      </c>
      <c r="AB69" s="987"/>
      <c r="AC69" s="808"/>
    </row>
    <row r="70" spans="1:29" ht="27" hidden="1" customHeight="1" x14ac:dyDescent="0.2">
      <c r="A70" s="37">
        <v>61</v>
      </c>
      <c r="B70" s="1031"/>
      <c r="C70" s="1032"/>
      <c r="D70" s="1033"/>
      <c r="E70" s="1034"/>
      <c r="F70" s="1035"/>
      <c r="G70" s="1035"/>
      <c r="H70" s="70"/>
      <c r="I70" s="1037" t="s">
        <v>632</v>
      </c>
      <c r="J70" s="1124">
        <f t="shared" si="11"/>
        <v>0</v>
      </c>
      <c r="K70" s="1125"/>
      <c r="L70" s="1036"/>
      <c r="M70" s="1034"/>
      <c r="N70" s="1038">
        <f>IF(M70="",0,ROUND(VLOOKUP(M70,Compsch!$A$10:$B$509,2),2))</f>
        <v>0</v>
      </c>
      <c r="O70" s="1038">
        <f t="shared" si="8"/>
        <v>0</v>
      </c>
      <c r="P70" s="1038">
        <f t="shared" si="3"/>
        <v>0</v>
      </c>
      <c r="Q70" s="1039">
        <v>44378</v>
      </c>
      <c r="R70" s="1040">
        <f>IFERROR(IF(Q70="",0,ROUND((VLOOKUP(M70,Compsch!$A$11:$I$390,9)-(VLOOKUP(M70,Compsch!$A$11:$I$390,7)))*(VLOOKUP(Q70,MeritSch!$A$5:$B$370,2)),0)),0)</f>
        <v>0</v>
      </c>
      <c r="S70" s="1038">
        <f t="shared" si="9"/>
        <v>0</v>
      </c>
      <c r="T70" s="1041">
        <f t="shared" si="4"/>
        <v>0</v>
      </c>
      <c r="U70" s="989">
        <f>IF(F70="y",((((N70+O70+T70)*J70)*Rates!$I$379))/24,(((N70+O70+T70)*J70)/24))</f>
        <v>0</v>
      </c>
      <c r="V70" s="1042" t="b">
        <f t="shared" si="5"/>
        <v>0</v>
      </c>
      <c r="W70" s="1043"/>
      <c r="X70" s="990">
        <f>IF(F70="y",(V70*Rates!$D$331+W70),(V70+W70))</f>
        <v>0</v>
      </c>
      <c r="Y70" s="1038">
        <f>X70*Rates!$D$339</f>
        <v>0</v>
      </c>
      <c r="Z70" s="1044">
        <f t="shared" si="10"/>
        <v>0</v>
      </c>
      <c r="AB70" s="987"/>
      <c r="AC70" s="808"/>
    </row>
    <row r="71" spans="1:29" ht="27" hidden="1" customHeight="1" x14ac:dyDescent="0.2">
      <c r="A71" s="37">
        <v>62</v>
      </c>
      <c r="B71" s="1031"/>
      <c r="C71" s="1032"/>
      <c r="D71" s="1033"/>
      <c r="E71" s="1034"/>
      <c r="F71" s="1035"/>
      <c r="G71" s="1035"/>
      <c r="H71" s="70"/>
      <c r="I71" s="1037" t="s">
        <v>632</v>
      </c>
      <c r="J71" s="1124">
        <f t="shared" si="11"/>
        <v>0</v>
      </c>
      <c r="K71" s="1125"/>
      <c r="L71" s="1036"/>
      <c r="M71" s="1034"/>
      <c r="N71" s="1038">
        <f>IF(M71="",0,ROUND(VLOOKUP(M71,Compsch!$A$10:$B$509,2),2))</f>
        <v>0</v>
      </c>
      <c r="O71" s="1038">
        <f t="shared" si="8"/>
        <v>0</v>
      </c>
      <c r="P71" s="1038">
        <f t="shared" si="3"/>
        <v>0</v>
      </c>
      <c r="Q71" s="1039">
        <v>44378</v>
      </c>
      <c r="R71" s="1040">
        <f>IFERROR(IF(Q71="",0,ROUND((VLOOKUP(M71,Compsch!$A$11:$I$390,9)-(VLOOKUP(M71,Compsch!$A$11:$I$390,7)))*(VLOOKUP(Q71,MeritSch!$A$5:$B$370,2)),0)),0)</f>
        <v>0</v>
      </c>
      <c r="S71" s="1038">
        <f t="shared" si="9"/>
        <v>0</v>
      </c>
      <c r="T71" s="1041">
        <f t="shared" si="4"/>
        <v>0</v>
      </c>
      <c r="U71" s="989">
        <f>IF(F71="y",((((N71+O71+T71)*J71)*Rates!$I$379))/24,(((N71+O71+T71)*J71)/24))</f>
        <v>0</v>
      </c>
      <c r="V71" s="1042" t="b">
        <f t="shared" si="5"/>
        <v>0</v>
      </c>
      <c r="W71" s="1043"/>
      <c r="X71" s="990">
        <f>IF(F71="y",(V71*Rates!$D$331+W71),(V71+W71))</f>
        <v>0</v>
      </c>
      <c r="Y71" s="1038">
        <f>X71*Rates!$D$339</f>
        <v>0</v>
      </c>
      <c r="Z71" s="1044">
        <f t="shared" si="10"/>
        <v>0</v>
      </c>
      <c r="AB71" s="987"/>
      <c r="AC71" s="808"/>
    </row>
    <row r="72" spans="1:29" ht="27" hidden="1" customHeight="1" x14ac:dyDescent="0.2">
      <c r="A72" s="37">
        <v>63</v>
      </c>
      <c r="B72" s="1031"/>
      <c r="C72" s="1032"/>
      <c r="D72" s="1033"/>
      <c r="E72" s="1034"/>
      <c r="F72" s="1035"/>
      <c r="G72" s="1035"/>
      <c r="H72" s="70"/>
      <c r="I72" s="1037" t="s">
        <v>632</v>
      </c>
      <c r="J72" s="1124">
        <f t="shared" si="11"/>
        <v>0</v>
      </c>
      <c r="K72" s="1125"/>
      <c r="L72" s="1036"/>
      <c r="M72" s="1034"/>
      <c r="N72" s="1038">
        <f>IF(M72="",0,ROUND(VLOOKUP(M72,Compsch!$A$10:$B$509,2),2))</f>
        <v>0</v>
      </c>
      <c r="O72" s="1038">
        <f t="shared" si="8"/>
        <v>0</v>
      </c>
      <c r="P72" s="1038">
        <f t="shared" si="3"/>
        <v>0</v>
      </c>
      <c r="Q72" s="1039">
        <v>44378</v>
      </c>
      <c r="R72" s="1040">
        <f>IFERROR(IF(Q72="",0,ROUND((VLOOKUP(M72,Compsch!$A$11:$I$390,9)-(VLOOKUP(M72,Compsch!$A$11:$I$390,7)))*(VLOOKUP(Q72,MeritSch!$A$5:$B$370,2)),0)),0)</f>
        <v>0</v>
      </c>
      <c r="S72" s="1038">
        <f t="shared" si="9"/>
        <v>0</v>
      </c>
      <c r="T72" s="1041">
        <f t="shared" si="4"/>
        <v>0</v>
      </c>
      <c r="U72" s="989">
        <f>IF(F72="y",((((N72+O72+T72)*J72)*Rates!$I$379))/24,(((N72+O72+T72)*J72)/24))</f>
        <v>0</v>
      </c>
      <c r="V72" s="1042" t="b">
        <f t="shared" si="5"/>
        <v>0</v>
      </c>
      <c r="W72" s="1043"/>
      <c r="X72" s="990">
        <f>IF(F72="y",(V72*Rates!$D$331+W72),(V72+W72))</f>
        <v>0</v>
      </c>
      <c r="Y72" s="1038">
        <f>X72*Rates!$D$339</f>
        <v>0</v>
      </c>
      <c r="Z72" s="1044">
        <f t="shared" si="10"/>
        <v>0</v>
      </c>
      <c r="AB72" s="987"/>
      <c r="AC72" s="808"/>
    </row>
    <row r="73" spans="1:29" ht="27" hidden="1" customHeight="1" x14ac:dyDescent="0.2">
      <c r="A73" s="37">
        <v>64</v>
      </c>
      <c r="B73" s="1031"/>
      <c r="C73" s="1032"/>
      <c r="D73" s="1033"/>
      <c r="E73" s="1034"/>
      <c r="F73" s="1035"/>
      <c r="G73" s="1035"/>
      <c r="H73" s="70"/>
      <c r="I73" s="1037" t="s">
        <v>632</v>
      </c>
      <c r="J73" s="1124">
        <f t="shared" si="11"/>
        <v>0</v>
      </c>
      <c r="K73" s="1125"/>
      <c r="L73" s="1036"/>
      <c r="M73" s="1034"/>
      <c r="N73" s="1038">
        <f>IF(M73="",0,ROUND(VLOOKUP(M73,Compsch!$A$10:$B$509,2),2))</f>
        <v>0</v>
      </c>
      <c r="O73" s="1038">
        <f t="shared" si="8"/>
        <v>0</v>
      </c>
      <c r="P73" s="1038">
        <f t="shared" si="3"/>
        <v>0</v>
      </c>
      <c r="Q73" s="1039">
        <v>44378</v>
      </c>
      <c r="R73" s="1040">
        <f>IFERROR(IF(Q73="",0,ROUND((VLOOKUP(M73,Compsch!$A$11:$I$390,9)-(VLOOKUP(M73,Compsch!$A$11:$I$390,7)))*(VLOOKUP(Q73,MeritSch!$A$5:$B$370,2)),0)),0)</f>
        <v>0</v>
      </c>
      <c r="S73" s="1038">
        <f t="shared" si="9"/>
        <v>0</v>
      </c>
      <c r="T73" s="1041">
        <f t="shared" si="4"/>
        <v>0</v>
      </c>
      <c r="U73" s="989">
        <f>IF(F73="y",((((N73+O73+T73)*J73)*Rates!$I$379))/24,(((N73+O73+T73)*J73)/24))</f>
        <v>0</v>
      </c>
      <c r="V73" s="1042" t="b">
        <f t="shared" si="5"/>
        <v>0</v>
      </c>
      <c r="W73" s="1043"/>
      <c r="X73" s="990">
        <f>IF(F73="y",(V73*Rates!$D$331+W73),(V73+W73))</f>
        <v>0</v>
      </c>
      <c r="Y73" s="1038">
        <f>X73*Rates!$D$339</f>
        <v>0</v>
      </c>
      <c r="Z73" s="1044">
        <f t="shared" si="10"/>
        <v>0</v>
      </c>
      <c r="AB73" s="987"/>
      <c r="AC73" s="808"/>
    </row>
    <row r="74" spans="1:29" ht="27" hidden="1" customHeight="1" x14ac:dyDescent="0.2">
      <c r="A74" s="37">
        <v>65</v>
      </c>
      <c r="B74" s="1031"/>
      <c r="C74" s="1032"/>
      <c r="D74" s="1033"/>
      <c r="E74" s="1034"/>
      <c r="F74" s="1035"/>
      <c r="G74" s="1035"/>
      <c r="H74" s="70"/>
      <c r="I74" s="1037" t="s">
        <v>632</v>
      </c>
      <c r="J74" s="1124">
        <f t="shared" si="11"/>
        <v>0</v>
      </c>
      <c r="K74" s="1125"/>
      <c r="L74" s="1036"/>
      <c r="M74" s="1034"/>
      <c r="N74" s="1038">
        <f>IF(M74="",0,ROUND(VLOOKUP(M74,Compsch!$A$10:$B$509,2),2))</f>
        <v>0</v>
      </c>
      <c r="O74" s="1038">
        <f t="shared" ref="O74:O105" si="12">N74*IF(G74="Both",0.05*2,IF(G74="",0,0.05))</f>
        <v>0</v>
      </c>
      <c r="P74" s="1038">
        <f t="shared" ref="P74:P109" si="13">N74+O74</f>
        <v>0</v>
      </c>
      <c r="Q74" s="1039">
        <v>44378</v>
      </c>
      <c r="R74" s="1040">
        <f>IFERROR(IF(Q74="",0,ROUND((VLOOKUP(M74,Compsch!$A$11:$I$390,9)-(VLOOKUP(M74,Compsch!$A$11:$I$390,7)))*(VLOOKUP(Q74,MeritSch!$A$5:$B$370,2)),0)),0)</f>
        <v>0</v>
      </c>
      <c r="S74" s="1038">
        <f t="shared" ref="S74:S105" si="14">R74*IF(G74="Both",0.05*2,IF(G74="",0,0.05))*(I74&lt;&gt;"Y")</f>
        <v>0</v>
      </c>
      <c r="T74" s="1041">
        <f t="shared" si="4"/>
        <v>0</v>
      </c>
      <c r="U74" s="989">
        <f>IF(F74="y",((((N74+O74+T74)*J74)*Rates!$I$379))/24,(((N74+O74+T74)*J74)/24))</f>
        <v>0</v>
      </c>
      <c r="V74" s="1042" t="b">
        <f t="shared" ref="V74:V109" si="15">IF(AND(N74=""),0,IF(AND(N74&gt;0),(((P74+T74)/24)*L74*J74)))</f>
        <v>0</v>
      </c>
      <c r="W74" s="1043"/>
      <c r="X74" s="990">
        <f>IF(F74="y",(V74*Rates!$D$331+W74),(V74+W74))</f>
        <v>0</v>
      </c>
      <c r="Y74" s="1038">
        <f>X74*Rates!$D$339</f>
        <v>0</v>
      </c>
      <c r="Z74" s="1044">
        <f t="shared" ref="Z74:Z105" si="16">SUM(Y74:Y74)</f>
        <v>0</v>
      </c>
      <c r="AB74" s="987"/>
      <c r="AC74" s="808"/>
    </row>
    <row r="75" spans="1:29" ht="27" hidden="1" customHeight="1" x14ac:dyDescent="0.2">
      <c r="A75" s="37">
        <v>66</v>
      </c>
      <c r="B75" s="1031"/>
      <c r="C75" s="1032"/>
      <c r="D75" s="1033"/>
      <c r="E75" s="1034"/>
      <c r="F75" s="1035"/>
      <c r="G75" s="1035"/>
      <c r="H75" s="70"/>
      <c r="I75" s="1037" t="s">
        <v>632</v>
      </c>
      <c r="J75" s="1124">
        <f t="shared" si="11"/>
        <v>0</v>
      </c>
      <c r="K75" s="1125"/>
      <c r="L75" s="1036"/>
      <c r="M75" s="1034"/>
      <c r="N75" s="1038">
        <f>IF(M75="",0,ROUND(VLOOKUP(M75,Compsch!$A$10:$B$509,2),2))</f>
        <v>0</v>
      </c>
      <c r="O75" s="1038">
        <f t="shared" si="12"/>
        <v>0</v>
      </c>
      <c r="P75" s="1038">
        <f t="shared" si="13"/>
        <v>0</v>
      </c>
      <c r="Q75" s="1039">
        <v>44378</v>
      </c>
      <c r="R75" s="1040">
        <f>IFERROR(IF(Q75="",0,ROUND((VLOOKUP(M75,Compsch!$A$11:$I$390,9)-(VLOOKUP(M75,Compsch!$A$11:$I$390,7)))*(VLOOKUP(Q75,MeritSch!$A$5:$B$370,2)),0)),0)</f>
        <v>0</v>
      </c>
      <c r="S75" s="1038">
        <f t="shared" si="14"/>
        <v>0</v>
      </c>
      <c r="T75" s="1041">
        <f t="shared" ref="T75:T109" si="17">R75+S75</f>
        <v>0</v>
      </c>
      <c r="U75" s="989">
        <f>IF(F75="y",((((N75+O75+T75)*J75)*Rates!$I$379))/24,(((N75+O75+T75)*J75)/24))</f>
        <v>0</v>
      </c>
      <c r="V75" s="1042" t="b">
        <f t="shared" si="15"/>
        <v>0</v>
      </c>
      <c r="W75" s="1043"/>
      <c r="X75" s="990">
        <f>IF(F75="y",(V75*Rates!$D$331+W75),(V75+W75))</f>
        <v>0</v>
      </c>
      <c r="Y75" s="1038">
        <f>X75*Rates!$D$339</f>
        <v>0</v>
      </c>
      <c r="Z75" s="1044">
        <f t="shared" si="16"/>
        <v>0</v>
      </c>
      <c r="AB75" s="987"/>
      <c r="AC75" s="808"/>
    </row>
    <row r="76" spans="1:29" ht="27" hidden="1" customHeight="1" x14ac:dyDescent="0.2">
      <c r="A76" s="37">
        <v>67</v>
      </c>
      <c r="B76" s="1031"/>
      <c r="C76" s="1032"/>
      <c r="D76" s="1033"/>
      <c r="E76" s="1034"/>
      <c r="F76" s="1035"/>
      <c r="G76" s="1035"/>
      <c r="H76" s="70"/>
      <c r="I76" s="1037" t="s">
        <v>632</v>
      </c>
      <c r="J76" s="1124">
        <f t="shared" si="11"/>
        <v>0</v>
      </c>
      <c r="K76" s="1125"/>
      <c r="L76" s="1036"/>
      <c r="M76" s="1034"/>
      <c r="N76" s="1038">
        <f>IF(M76="",0,ROUND(VLOOKUP(M76,Compsch!$A$10:$B$509,2),2))</f>
        <v>0</v>
      </c>
      <c r="O76" s="1038">
        <f t="shared" si="12"/>
        <v>0</v>
      </c>
      <c r="P76" s="1038">
        <f t="shared" si="13"/>
        <v>0</v>
      </c>
      <c r="Q76" s="1039">
        <v>44378</v>
      </c>
      <c r="R76" s="1040">
        <f>IFERROR(IF(Q76="",0,ROUND((VLOOKUP(M76,Compsch!$A$11:$I$390,9)-(VLOOKUP(M76,Compsch!$A$11:$I$390,7)))*(VLOOKUP(Q76,MeritSch!$A$5:$B$370,2)),0)),0)</f>
        <v>0</v>
      </c>
      <c r="S76" s="1038">
        <f t="shared" si="14"/>
        <v>0</v>
      </c>
      <c r="T76" s="1041">
        <f t="shared" si="17"/>
        <v>0</v>
      </c>
      <c r="U76" s="989">
        <f>IF(F76="y",((((N76+O76+T76)*J76)*Rates!$I$379))/24,(((N76+O76+T76)*J76)/24))</f>
        <v>0</v>
      </c>
      <c r="V76" s="1042" t="b">
        <f t="shared" si="15"/>
        <v>0</v>
      </c>
      <c r="W76" s="1043"/>
      <c r="X76" s="990">
        <f>IF(F76="y",(V76*Rates!$D$331+W76),(V76+W76))</f>
        <v>0</v>
      </c>
      <c r="Y76" s="1038">
        <f>X76*Rates!$D$339</f>
        <v>0</v>
      </c>
      <c r="Z76" s="1044">
        <f t="shared" si="16"/>
        <v>0</v>
      </c>
      <c r="AB76" s="987"/>
      <c r="AC76" s="808"/>
    </row>
    <row r="77" spans="1:29" ht="27" hidden="1" customHeight="1" x14ac:dyDescent="0.2">
      <c r="A77" s="37">
        <v>68</v>
      </c>
      <c r="B77" s="1031"/>
      <c r="C77" s="1032"/>
      <c r="D77" s="1033"/>
      <c r="E77" s="1034"/>
      <c r="F77" s="1035"/>
      <c r="G77" s="1035"/>
      <c r="H77" s="70"/>
      <c r="I77" s="1037" t="s">
        <v>632</v>
      </c>
      <c r="J77" s="1124">
        <f t="shared" si="11"/>
        <v>0</v>
      </c>
      <c r="K77" s="1125"/>
      <c r="L77" s="1036"/>
      <c r="M77" s="1034"/>
      <c r="N77" s="1038">
        <f>IF(M77="",0,ROUND(VLOOKUP(M77,Compsch!$A$10:$B$509,2),2))</f>
        <v>0</v>
      </c>
      <c r="O77" s="1038">
        <f t="shared" si="12"/>
        <v>0</v>
      </c>
      <c r="P77" s="1038">
        <f t="shared" si="13"/>
        <v>0</v>
      </c>
      <c r="Q77" s="1039">
        <v>44378</v>
      </c>
      <c r="R77" s="1040">
        <f>IFERROR(IF(Q77="",0,ROUND((VLOOKUP(M77,Compsch!$A$11:$I$390,9)-(VLOOKUP(M77,Compsch!$A$11:$I$390,7)))*(VLOOKUP(Q77,MeritSch!$A$5:$B$370,2)),0)),0)</f>
        <v>0</v>
      </c>
      <c r="S77" s="1038">
        <f t="shared" si="14"/>
        <v>0</v>
      </c>
      <c r="T77" s="1041">
        <f t="shared" si="17"/>
        <v>0</v>
      </c>
      <c r="U77" s="989">
        <f>IF(F77="y",((((N77+O77+T77)*J77)*Rates!$I$379))/24,(((N77+O77+T77)*J77)/24))</f>
        <v>0</v>
      </c>
      <c r="V77" s="1042" t="b">
        <f t="shared" si="15"/>
        <v>0</v>
      </c>
      <c r="W77" s="1043"/>
      <c r="X77" s="990">
        <f>IF(F77="y",(V77*Rates!$D$331+W77),(V77+W77))</f>
        <v>0</v>
      </c>
      <c r="Y77" s="1038">
        <f>X77*Rates!$D$339</f>
        <v>0</v>
      </c>
      <c r="Z77" s="1044">
        <f t="shared" si="16"/>
        <v>0</v>
      </c>
      <c r="AB77" s="987"/>
      <c r="AC77" s="808"/>
    </row>
    <row r="78" spans="1:29" ht="27" hidden="1" customHeight="1" x14ac:dyDescent="0.2">
      <c r="A78" s="37">
        <v>69</v>
      </c>
      <c r="B78" s="1031"/>
      <c r="C78" s="1032"/>
      <c r="D78" s="1033"/>
      <c r="E78" s="1034"/>
      <c r="F78" s="1035"/>
      <c r="G78" s="1035"/>
      <c r="H78" s="70"/>
      <c r="I78" s="1037" t="s">
        <v>632</v>
      </c>
      <c r="J78" s="1124">
        <f t="shared" si="11"/>
        <v>0</v>
      </c>
      <c r="K78" s="1125"/>
      <c r="L78" s="1036"/>
      <c r="M78" s="1034"/>
      <c r="N78" s="1038">
        <f>IF(M78="",0,ROUND(VLOOKUP(M78,Compsch!$A$10:$B$509,2),2))</f>
        <v>0</v>
      </c>
      <c r="O78" s="1038">
        <f t="shared" si="12"/>
        <v>0</v>
      </c>
      <c r="P78" s="1038">
        <f t="shared" si="13"/>
        <v>0</v>
      </c>
      <c r="Q78" s="1039">
        <v>44378</v>
      </c>
      <c r="R78" s="1040">
        <f>IFERROR(IF(Q78="",0,ROUND((VLOOKUP(M78,Compsch!$A$11:$I$390,9)-(VLOOKUP(M78,Compsch!$A$11:$I$390,7)))*(VLOOKUP(Q78,MeritSch!$A$5:$B$370,2)),0)),0)</f>
        <v>0</v>
      </c>
      <c r="S78" s="1038">
        <f t="shared" si="14"/>
        <v>0</v>
      </c>
      <c r="T78" s="1041">
        <f t="shared" si="17"/>
        <v>0</v>
      </c>
      <c r="U78" s="989">
        <f>IF(F78="y",((((N78+O78+T78)*J78)*Rates!$I$379))/24,(((N78+O78+T78)*J78)/24))</f>
        <v>0</v>
      </c>
      <c r="V78" s="1042" t="b">
        <f t="shared" si="15"/>
        <v>0</v>
      </c>
      <c r="W78" s="1043"/>
      <c r="X78" s="990">
        <f>IF(F78="y",(V78*Rates!$D$331+W78),(V78+W78))</f>
        <v>0</v>
      </c>
      <c r="Y78" s="1038">
        <f>X78*Rates!$D$339</f>
        <v>0</v>
      </c>
      <c r="Z78" s="1044">
        <f t="shared" si="16"/>
        <v>0</v>
      </c>
      <c r="AB78" s="987"/>
      <c r="AC78" s="808"/>
    </row>
    <row r="79" spans="1:29" ht="27" hidden="1" customHeight="1" x14ac:dyDescent="0.2">
      <c r="A79" s="37">
        <v>70</v>
      </c>
      <c r="B79" s="1031"/>
      <c r="C79" s="1032"/>
      <c r="D79" s="1033"/>
      <c r="E79" s="1034"/>
      <c r="F79" s="1035"/>
      <c r="G79" s="1035"/>
      <c r="H79" s="70"/>
      <c r="I79" s="1037" t="s">
        <v>632</v>
      </c>
      <c r="J79" s="1124">
        <f t="shared" si="11"/>
        <v>0</v>
      </c>
      <c r="K79" s="1125"/>
      <c r="L79" s="1036"/>
      <c r="M79" s="1034"/>
      <c r="N79" s="1038">
        <f>IF(M79="",0,ROUND(VLOOKUP(M79,Compsch!$A$10:$B$509,2),2))</f>
        <v>0</v>
      </c>
      <c r="O79" s="1038">
        <f t="shared" si="12"/>
        <v>0</v>
      </c>
      <c r="P79" s="1038">
        <f t="shared" si="13"/>
        <v>0</v>
      </c>
      <c r="Q79" s="1039">
        <v>44378</v>
      </c>
      <c r="R79" s="1040">
        <f>IFERROR(IF(Q79="",0,ROUND((VLOOKUP(M79,Compsch!$A$11:$I$390,9)-(VLOOKUP(M79,Compsch!$A$11:$I$390,7)))*(VLOOKUP(Q79,MeritSch!$A$5:$B$370,2)),0)),0)</f>
        <v>0</v>
      </c>
      <c r="S79" s="1038">
        <f t="shared" si="14"/>
        <v>0</v>
      </c>
      <c r="T79" s="1041">
        <f t="shared" si="17"/>
        <v>0</v>
      </c>
      <c r="U79" s="989">
        <f>IF(F79="y",((((N79+O79+T79)*J79)*Rates!$I$379))/24,(((N79+O79+T79)*J79)/24))</f>
        <v>0</v>
      </c>
      <c r="V79" s="1042" t="b">
        <f t="shared" si="15"/>
        <v>0</v>
      </c>
      <c r="W79" s="1043"/>
      <c r="X79" s="990">
        <f>IF(F79="y",(V79*Rates!$D$331+W79),(V79+W79))</f>
        <v>0</v>
      </c>
      <c r="Y79" s="1038">
        <f>X79*Rates!$D$339</f>
        <v>0</v>
      </c>
      <c r="Z79" s="1044">
        <f t="shared" si="16"/>
        <v>0</v>
      </c>
      <c r="AB79" s="987"/>
      <c r="AC79" s="808"/>
    </row>
    <row r="80" spans="1:29" ht="27" hidden="1" customHeight="1" x14ac:dyDescent="0.2">
      <c r="A80" s="37">
        <v>71</v>
      </c>
      <c r="B80" s="1031"/>
      <c r="C80" s="1032"/>
      <c r="D80" s="1033"/>
      <c r="E80" s="1034"/>
      <c r="F80" s="1035"/>
      <c r="G80" s="1035"/>
      <c r="H80" s="70"/>
      <c r="I80" s="1037" t="s">
        <v>632</v>
      </c>
      <c r="J80" s="1124">
        <f t="shared" si="11"/>
        <v>0</v>
      </c>
      <c r="K80" s="1125"/>
      <c r="L80" s="1036"/>
      <c r="M80" s="1034"/>
      <c r="N80" s="1038">
        <f>IF(M80="",0,ROUND(VLOOKUP(M80,Compsch!$A$10:$B$509,2),2))</f>
        <v>0</v>
      </c>
      <c r="O80" s="1038">
        <f t="shared" si="12"/>
        <v>0</v>
      </c>
      <c r="P80" s="1038">
        <f t="shared" si="13"/>
        <v>0</v>
      </c>
      <c r="Q80" s="1039">
        <v>44378</v>
      </c>
      <c r="R80" s="1040">
        <f>IFERROR(IF(Q80="",0,ROUND((VLOOKUP(M80,Compsch!$A$11:$I$390,9)-(VLOOKUP(M80,Compsch!$A$11:$I$390,7)))*(VLOOKUP(Q80,MeritSch!$A$5:$B$370,2)),0)),0)</f>
        <v>0</v>
      </c>
      <c r="S80" s="1038">
        <f t="shared" si="14"/>
        <v>0</v>
      </c>
      <c r="T80" s="1041">
        <f t="shared" si="17"/>
        <v>0</v>
      </c>
      <c r="U80" s="989">
        <f>IF(F80="y",((((N80+O80+T80)*J80)*Rates!$I$379))/24,(((N80+O80+T80)*J80)/24))</f>
        <v>0</v>
      </c>
      <c r="V80" s="1042" t="b">
        <f t="shared" si="15"/>
        <v>0</v>
      </c>
      <c r="W80" s="1043"/>
      <c r="X80" s="990">
        <f>IF(F80="y",(V80*Rates!$D$331+W80),(V80+W80))</f>
        <v>0</v>
      </c>
      <c r="Y80" s="1038">
        <f>X80*Rates!$D$339</f>
        <v>0</v>
      </c>
      <c r="Z80" s="1044">
        <f t="shared" si="16"/>
        <v>0</v>
      </c>
      <c r="AB80" s="987"/>
      <c r="AC80" s="808"/>
    </row>
    <row r="81" spans="1:29" ht="27" hidden="1" customHeight="1" x14ac:dyDescent="0.2">
      <c r="A81" s="37">
        <v>72</v>
      </c>
      <c r="B81" s="1031"/>
      <c r="C81" s="1032"/>
      <c r="D81" s="1033"/>
      <c r="E81" s="1034"/>
      <c r="F81" s="1035"/>
      <c r="G81" s="1035"/>
      <c r="H81" s="70"/>
      <c r="I81" s="1037" t="s">
        <v>632</v>
      </c>
      <c r="J81" s="1124">
        <f t="shared" si="11"/>
        <v>0</v>
      </c>
      <c r="K81" s="1125"/>
      <c r="L81" s="1036"/>
      <c r="M81" s="1034"/>
      <c r="N81" s="1038">
        <f>IF(M81="",0,ROUND(VLOOKUP(M81,Compsch!$A$10:$B$509,2),2))</f>
        <v>0</v>
      </c>
      <c r="O81" s="1038">
        <f t="shared" si="12"/>
        <v>0</v>
      </c>
      <c r="P81" s="1038">
        <f t="shared" si="13"/>
        <v>0</v>
      </c>
      <c r="Q81" s="1039">
        <v>44378</v>
      </c>
      <c r="R81" s="1040">
        <f>IFERROR(IF(Q81="",0,ROUND((VLOOKUP(M81,Compsch!$A$11:$I$390,9)-(VLOOKUP(M81,Compsch!$A$11:$I$390,7)))*(VLOOKUP(Q81,MeritSch!$A$5:$B$370,2)),0)),0)</f>
        <v>0</v>
      </c>
      <c r="S81" s="1038">
        <f t="shared" si="14"/>
        <v>0</v>
      </c>
      <c r="T81" s="1041">
        <f t="shared" si="17"/>
        <v>0</v>
      </c>
      <c r="U81" s="989">
        <f>IF(F81="y",((((N81+O81+T81)*J81)*Rates!$I$379))/24,(((N81+O81+T81)*J81)/24))</f>
        <v>0</v>
      </c>
      <c r="V81" s="1042" t="b">
        <f t="shared" si="15"/>
        <v>0</v>
      </c>
      <c r="W81" s="1043"/>
      <c r="X81" s="990">
        <f>IF(F81="y",(V81*Rates!$D$331+W81),(V81+W81))</f>
        <v>0</v>
      </c>
      <c r="Y81" s="1038">
        <f>X81*Rates!$D$339</f>
        <v>0</v>
      </c>
      <c r="Z81" s="1044">
        <f t="shared" si="16"/>
        <v>0</v>
      </c>
      <c r="AB81" s="987"/>
      <c r="AC81" s="808"/>
    </row>
    <row r="82" spans="1:29" ht="27" hidden="1" customHeight="1" x14ac:dyDescent="0.2">
      <c r="A82" s="37">
        <v>73</v>
      </c>
      <c r="B82" s="1031"/>
      <c r="C82" s="1032"/>
      <c r="D82" s="1033"/>
      <c r="E82" s="1034"/>
      <c r="F82" s="1035"/>
      <c r="G82" s="1035"/>
      <c r="H82" s="70"/>
      <c r="I82" s="1037" t="s">
        <v>632</v>
      </c>
      <c r="J82" s="1124">
        <f t="shared" si="11"/>
        <v>0</v>
      </c>
      <c r="K82" s="1125"/>
      <c r="L82" s="1036"/>
      <c r="M82" s="1034"/>
      <c r="N82" s="1038">
        <f>IF(M82="",0,ROUND(VLOOKUP(M82,Compsch!$A$10:$B$509,2),2))</f>
        <v>0</v>
      </c>
      <c r="O82" s="1038">
        <f t="shared" si="12"/>
        <v>0</v>
      </c>
      <c r="P82" s="1038">
        <f t="shared" si="13"/>
        <v>0</v>
      </c>
      <c r="Q82" s="1039">
        <v>44378</v>
      </c>
      <c r="R82" s="1040">
        <f>IFERROR(IF(Q82="",0,ROUND((VLOOKUP(M82,Compsch!$A$11:$I$390,9)-(VLOOKUP(M82,Compsch!$A$11:$I$390,7)))*(VLOOKUP(Q82,MeritSch!$A$5:$B$370,2)),0)),0)</f>
        <v>0</v>
      </c>
      <c r="S82" s="1038">
        <f t="shared" si="14"/>
        <v>0</v>
      </c>
      <c r="T82" s="1041">
        <f t="shared" si="17"/>
        <v>0</v>
      </c>
      <c r="U82" s="989">
        <f>IF(F82="y",((((N82+O82+T82)*J82)*Rates!$I$379))/24,(((N82+O82+T82)*J82)/24))</f>
        <v>0</v>
      </c>
      <c r="V82" s="1042" t="b">
        <f t="shared" si="15"/>
        <v>0</v>
      </c>
      <c r="W82" s="1043"/>
      <c r="X82" s="990">
        <f>IF(F82="y",(V82*Rates!$D$331+W82),(V82+W82))</f>
        <v>0</v>
      </c>
      <c r="Y82" s="1038">
        <f>X82*Rates!$D$339</f>
        <v>0</v>
      </c>
      <c r="Z82" s="1044">
        <f t="shared" si="16"/>
        <v>0</v>
      </c>
      <c r="AB82" s="987"/>
      <c r="AC82" s="808"/>
    </row>
    <row r="83" spans="1:29" ht="27" hidden="1" customHeight="1" x14ac:dyDescent="0.2">
      <c r="A83" s="37">
        <v>74</v>
      </c>
      <c r="B83" s="1031"/>
      <c r="C83" s="1032"/>
      <c r="D83" s="1033"/>
      <c r="E83" s="1034"/>
      <c r="F83" s="1035"/>
      <c r="G83" s="1035"/>
      <c r="H83" s="70"/>
      <c r="I83" s="1037" t="s">
        <v>632</v>
      </c>
      <c r="J83" s="1124">
        <f t="shared" si="11"/>
        <v>0</v>
      </c>
      <c r="K83" s="1125"/>
      <c r="L83" s="1036"/>
      <c r="M83" s="1034"/>
      <c r="N83" s="1038">
        <f>IF(M83="",0,ROUND(VLOOKUP(M83,Compsch!$A$10:$B$509,2),2))</f>
        <v>0</v>
      </c>
      <c r="O83" s="1038">
        <f t="shared" si="12"/>
        <v>0</v>
      </c>
      <c r="P83" s="1038">
        <f t="shared" si="13"/>
        <v>0</v>
      </c>
      <c r="Q83" s="1039">
        <v>44378</v>
      </c>
      <c r="R83" s="1040">
        <f>IFERROR(IF(Q83="",0,ROUND((VLOOKUP(M83,Compsch!$A$11:$I$390,9)-(VLOOKUP(M83,Compsch!$A$11:$I$390,7)))*(VLOOKUP(Q83,MeritSch!$A$5:$B$370,2)),0)),0)</f>
        <v>0</v>
      </c>
      <c r="S83" s="1038">
        <f t="shared" si="14"/>
        <v>0</v>
      </c>
      <c r="T83" s="1041">
        <f t="shared" si="17"/>
        <v>0</v>
      </c>
      <c r="U83" s="989">
        <f>IF(F83="y",((((N83+O83+T83)*J83)*Rates!$I$379))/24,(((N83+O83+T83)*J83)/24))</f>
        <v>0</v>
      </c>
      <c r="V83" s="1042" t="b">
        <f t="shared" si="15"/>
        <v>0</v>
      </c>
      <c r="W83" s="1043"/>
      <c r="X83" s="990">
        <f>IF(F83="y",(V83*Rates!$D$331+W83),(V83+W83))</f>
        <v>0</v>
      </c>
      <c r="Y83" s="1038">
        <f>X83*Rates!$D$339</f>
        <v>0</v>
      </c>
      <c r="Z83" s="1044">
        <f t="shared" si="16"/>
        <v>0</v>
      </c>
      <c r="AB83" s="987"/>
      <c r="AC83" s="808"/>
    </row>
    <row r="84" spans="1:29" ht="27" hidden="1" customHeight="1" x14ac:dyDescent="0.2">
      <c r="A84" s="37">
        <v>75</v>
      </c>
      <c r="B84" s="1031"/>
      <c r="C84" s="1032"/>
      <c r="D84" s="1033"/>
      <c r="E84" s="1034"/>
      <c r="F84" s="1035"/>
      <c r="G84" s="1035"/>
      <c r="H84" s="70"/>
      <c r="I84" s="1037" t="s">
        <v>632</v>
      </c>
      <c r="J84" s="1124">
        <f t="shared" si="11"/>
        <v>0</v>
      </c>
      <c r="K84" s="1125"/>
      <c r="L84" s="1036"/>
      <c r="M84" s="1034"/>
      <c r="N84" s="1038">
        <f>IF(M84="",0,ROUND(VLOOKUP(M84,Compsch!$A$10:$B$509,2),2))</f>
        <v>0</v>
      </c>
      <c r="O84" s="1038">
        <f t="shared" si="12"/>
        <v>0</v>
      </c>
      <c r="P84" s="1038">
        <f t="shared" si="13"/>
        <v>0</v>
      </c>
      <c r="Q84" s="1039">
        <v>44378</v>
      </c>
      <c r="R84" s="1040">
        <f>IFERROR(IF(Q84="",0,ROUND((VLOOKUP(M84,Compsch!$A$11:$I$390,9)-(VLOOKUP(M84,Compsch!$A$11:$I$390,7)))*(VLOOKUP(Q84,MeritSch!$A$5:$B$370,2)),0)),0)</f>
        <v>0</v>
      </c>
      <c r="S84" s="1038">
        <f t="shared" si="14"/>
        <v>0</v>
      </c>
      <c r="T84" s="1041">
        <f t="shared" si="17"/>
        <v>0</v>
      </c>
      <c r="U84" s="989">
        <f>IF(F84="y",((((N84+O84+T84)*J84)*Rates!$I$379))/24,(((N84+O84+T84)*J84)/24))</f>
        <v>0</v>
      </c>
      <c r="V84" s="1042" t="b">
        <f t="shared" si="15"/>
        <v>0</v>
      </c>
      <c r="W84" s="1043"/>
      <c r="X84" s="990">
        <f>IF(F84="y",(V84*Rates!$D$331+W84),(V84+W84))</f>
        <v>0</v>
      </c>
      <c r="Y84" s="1038">
        <f>X84*Rates!$D$339</f>
        <v>0</v>
      </c>
      <c r="Z84" s="1044">
        <f t="shared" si="16"/>
        <v>0</v>
      </c>
      <c r="AB84" s="987"/>
      <c r="AC84" s="808"/>
    </row>
    <row r="85" spans="1:29" ht="27" hidden="1" customHeight="1" x14ac:dyDescent="0.2">
      <c r="A85" s="37">
        <v>76</v>
      </c>
      <c r="B85" s="1031"/>
      <c r="C85" s="1032"/>
      <c r="D85" s="1033"/>
      <c r="E85" s="1034"/>
      <c r="F85" s="1035"/>
      <c r="G85" s="1035"/>
      <c r="H85" s="70"/>
      <c r="I85" s="1037" t="s">
        <v>632</v>
      </c>
      <c r="J85" s="1124">
        <f t="shared" si="11"/>
        <v>0</v>
      </c>
      <c r="K85" s="1125"/>
      <c r="L85" s="1036"/>
      <c r="M85" s="1034"/>
      <c r="N85" s="1038">
        <f>IF(M85="",0,ROUND(VLOOKUP(M85,Compsch!$A$10:$B$509,2),2))</f>
        <v>0</v>
      </c>
      <c r="O85" s="1038">
        <f t="shared" si="12"/>
        <v>0</v>
      </c>
      <c r="P85" s="1038">
        <f t="shared" si="13"/>
        <v>0</v>
      </c>
      <c r="Q85" s="1039">
        <v>44378</v>
      </c>
      <c r="R85" s="1040">
        <f>IFERROR(IF(Q85="",0,ROUND((VLOOKUP(M85,Compsch!$A$11:$I$390,9)-(VLOOKUP(M85,Compsch!$A$11:$I$390,7)))*(VLOOKUP(Q85,MeritSch!$A$5:$B$370,2)),0)),0)</f>
        <v>0</v>
      </c>
      <c r="S85" s="1038">
        <f t="shared" si="14"/>
        <v>0</v>
      </c>
      <c r="T85" s="1041">
        <f t="shared" si="17"/>
        <v>0</v>
      </c>
      <c r="U85" s="989">
        <f>IF(F85="y",((((N85+O85+T85)*J85)*Rates!$I$379))/24,(((N85+O85+T85)*J85)/24))</f>
        <v>0</v>
      </c>
      <c r="V85" s="1042" t="b">
        <f t="shared" si="15"/>
        <v>0</v>
      </c>
      <c r="W85" s="1043"/>
      <c r="X85" s="990">
        <f>IF(F85="y",(V85*Rates!$D$331+W85),(V85+W85))</f>
        <v>0</v>
      </c>
      <c r="Y85" s="1038">
        <f>X85*Rates!$D$339</f>
        <v>0</v>
      </c>
      <c r="Z85" s="1044">
        <f t="shared" si="16"/>
        <v>0</v>
      </c>
      <c r="AB85" s="987"/>
      <c r="AC85" s="808"/>
    </row>
    <row r="86" spans="1:29" ht="27" hidden="1" customHeight="1" x14ac:dyDescent="0.2">
      <c r="A86" s="37">
        <v>77</v>
      </c>
      <c r="B86" s="1031"/>
      <c r="C86" s="1032"/>
      <c r="D86" s="1033"/>
      <c r="E86" s="1034"/>
      <c r="F86" s="1035"/>
      <c r="G86" s="1035"/>
      <c r="H86" s="70"/>
      <c r="I86" s="1037" t="s">
        <v>632</v>
      </c>
      <c r="J86" s="1124">
        <f t="shared" si="11"/>
        <v>0</v>
      </c>
      <c r="K86" s="1125"/>
      <c r="L86" s="1036"/>
      <c r="M86" s="1034"/>
      <c r="N86" s="1038">
        <f>IF(M86="",0,ROUND(VLOOKUP(M86,Compsch!$A$10:$B$509,2),2))</f>
        <v>0</v>
      </c>
      <c r="O86" s="1038">
        <f t="shared" si="12"/>
        <v>0</v>
      </c>
      <c r="P86" s="1038">
        <f t="shared" si="13"/>
        <v>0</v>
      </c>
      <c r="Q86" s="1039">
        <v>44378</v>
      </c>
      <c r="R86" s="1040">
        <f>IFERROR(IF(Q86="",0,ROUND((VLOOKUP(M86,Compsch!$A$11:$I$390,9)-(VLOOKUP(M86,Compsch!$A$11:$I$390,7)))*(VLOOKUP(Q86,MeritSch!$A$5:$B$370,2)),0)),0)</f>
        <v>0</v>
      </c>
      <c r="S86" s="1038">
        <f t="shared" si="14"/>
        <v>0</v>
      </c>
      <c r="T86" s="1041">
        <f t="shared" si="17"/>
        <v>0</v>
      </c>
      <c r="U86" s="989">
        <f>IF(F86="y",((((N86+O86+T86)*J86)*Rates!$I$379))/24,(((N86+O86+T86)*J86)/24))</f>
        <v>0</v>
      </c>
      <c r="V86" s="1042" t="b">
        <f t="shared" si="15"/>
        <v>0</v>
      </c>
      <c r="W86" s="1043"/>
      <c r="X86" s="990">
        <f>IF(F86="y",(V86*Rates!$D$331+W86),(V86+W86))</f>
        <v>0</v>
      </c>
      <c r="Y86" s="1038">
        <f>X86*Rates!$D$339</f>
        <v>0</v>
      </c>
      <c r="Z86" s="1044">
        <f t="shared" si="16"/>
        <v>0</v>
      </c>
      <c r="AB86" s="987"/>
      <c r="AC86" s="808"/>
    </row>
    <row r="87" spans="1:29" ht="27" hidden="1" customHeight="1" x14ac:dyDescent="0.2">
      <c r="A87" s="37">
        <v>78</v>
      </c>
      <c r="B87" s="1031"/>
      <c r="C87" s="1032"/>
      <c r="D87" s="1033"/>
      <c r="E87" s="1034"/>
      <c r="F87" s="1035"/>
      <c r="G87" s="1035"/>
      <c r="H87" s="70"/>
      <c r="I87" s="1037" t="s">
        <v>632</v>
      </c>
      <c r="J87" s="1124">
        <f t="shared" si="11"/>
        <v>0</v>
      </c>
      <c r="K87" s="1125"/>
      <c r="L87" s="1036"/>
      <c r="M87" s="1034"/>
      <c r="N87" s="1038">
        <f>IF(M87="",0,ROUND(VLOOKUP(M87,Compsch!$A$10:$B$509,2),2))</f>
        <v>0</v>
      </c>
      <c r="O87" s="1038">
        <f t="shared" si="12"/>
        <v>0</v>
      </c>
      <c r="P87" s="1038">
        <f t="shared" si="13"/>
        <v>0</v>
      </c>
      <c r="Q87" s="1039">
        <v>44378</v>
      </c>
      <c r="R87" s="1040">
        <f>IFERROR(IF(Q87="",0,ROUND((VLOOKUP(M87,Compsch!$A$11:$I$390,9)-(VLOOKUP(M87,Compsch!$A$11:$I$390,7)))*(VLOOKUP(Q87,MeritSch!$A$5:$B$370,2)),0)),0)</f>
        <v>0</v>
      </c>
      <c r="S87" s="1038">
        <f t="shared" si="14"/>
        <v>0</v>
      </c>
      <c r="T87" s="1041">
        <f t="shared" si="17"/>
        <v>0</v>
      </c>
      <c r="U87" s="989">
        <f>IF(F87="y",((((N87+O87+T87)*J87)*Rates!$I$379))/24,(((N87+O87+T87)*J87)/24))</f>
        <v>0</v>
      </c>
      <c r="V87" s="1042" t="b">
        <f t="shared" si="15"/>
        <v>0</v>
      </c>
      <c r="W87" s="1043"/>
      <c r="X87" s="990">
        <f>IF(F87="y",(V87*Rates!$D$331+W87),(V87+W87))</f>
        <v>0</v>
      </c>
      <c r="Y87" s="1038">
        <f>X87*Rates!$D$339</f>
        <v>0</v>
      </c>
      <c r="Z87" s="1044">
        <f t="shared" si="16"/>
        <v>0</v>
      </c>
      <c r="AB87" s="987"/>
      <c r="AC87" s="808"/>
    </row>
    <row r="88" spans="1:29" ht="27" hidden="1" customHeight="1" x14ac:dyDescent="0.2">
      <c r="A88" s="37">
        <v>79</v>
      </c>
      <c r="B88" s="1031"/>
      <c r="C88" s="1032"/>
      <c r="D88" s="1033"/>
      <c r="E88" s="1034"/>
      <c r="F88" s="1035"/>
      <c r="G88" s="1035"/>
      <c r="H88" s="70"/>
      <c r="I88" s="1037" t="s">
        <v>632</v>
      </c>
      <c r="J88" s="1124">
        <f t="shared" si="11"/>
        <v>0</v>
      </c>
      <c r="K88" s="1125"/>
      <c r="L88" s="1036"/>
      <c r="M88" s="1034"/>
      <c r="N88" s="1038">
        <f>IF(M88="",0,ROUND(VLOOKUP(M88,Compsch!$A$10:$B$509,2),2))</f>
        <v>0</v>
      </c>
      <c r="O88" s="1038">
        <f t="shared" si="12"/>
        <v>0</v>
      </c>
      <c r="P88" s="1038">
        <f t="shared" si="13"/>
        <v>0</v>
      </c>
      <c r="Q88" s="1039">
        <v>44378</v>
      </c>
      <c r="R88" s="1040">
        <f>IFERROR(IF(Q88="",0,ROUND((VLOOKUP(M88,Compsch!$A$11:$I$390,9)-(VLOOKUP(M88,Compsch!$A$11:$I$390,7)))*(VLOOKUP(Q88,MeritSch!$A$5:$B$370,2)),0)),0)</f>
        <v>0</v>
      </c>
      <c r="S88" s="1038">
        <f t="shared" si="14"/>
        <v>0</v>
      </c>
      <c r="T88" s="1041">
        <f t="shared" si="17"/>
        <v>0</v>
      </c>
      <c r="U88" s="989">
        <f>IF(F88="y",((((N88+O88+T88)*J88)*Rates!$I$379))/24,(((N88+O88+T88)*J88)/24))</f>
        <v>0</v>
      </c>
      <c r="V88" s="1042" t="b">
        <f t="shared" si="15"/>
        <v>0</v>
      </c>
      <c r="W88" s="1043"/>
      <c r="X88" s="990">
        <f>IF(F88="y",(V88*Rates!$D$331+W88),(V88+W88))</f>
        <v>0</v>
      </c>
      <c r="Y88" s="1038">
        <f>X88*Rates!$D$339</f>
        <v>0</v>
      </c>
      <c r="Z88" s="1044">
        <f t="shared" si="16"/>
        <v>0</v>
      </c>
      <c r="AB88" s="987"/>
      <c r="AC88" s="808"/>
    </row>
    <row r="89" spans="1:29" ht="27" hidden="1" customHeight="1" x14ac:dyDescent="0.2">
      <c r="A89" s="37">
        <v>80</v>
      </c>
      <c r="B89" s="1031"/>
      <c r="C89" s="1032"/>
      <c r="D89" s="1033"/>
      <c r="E89" s="1034"/>
      <c r="F89" s="1035"/>
      <c r="G89" s="1035"/>
      <c r="H89" s="70"/>
      <c r="I89" s="1037" t="s">
        <v>632</v>
      </c>
      <c r="J89" s="1124">
        <f t="shared" si="11"/>
        <v>0</v>
      </c>
      <c r="K89" s="1125"/>
      <c r="L89" s="1036"/>
      <c r="M89" s="1034"/>
      <c r="N89" s="1038">
        <f>IF(M89="",0,ROUND(VLOOKUP(M89,Compsch!$A$10:$B$509,2),2))</f>
        <v>0</v>
      </c>
      <c r="O89" s="1038">
        <f t="shared" si="12"/>
        <v>0</v>
      </c>
      <c r="P89" s="1038">
        <f t="shared" si="13"/>
        <v>0</v>
      </c>
      <c r="Q89" s="1039">
        <v>44378</v>
      </c>
      <c r="R89" s="1040">
        <f>IFERROR(IF(Q89="",0,ROUND((VLOOKUP(M89,Compsch!$A$11:$I$390,9)-(VLOOKUP(M89,Compsch!$A$11:$I$390,7)))*(VLOOKUP(Q89,MeritSch!$A$5:$B$370,2)),0)),0)</f>
        <v>0</v>
      </c>
      <c r="S89" s="1038">
        <f t="shared" si="14"/>
        <v>0</v>
      </c>
      <c r="T89" s="1041">
        <f t="shared" si="17"/>
        <v>0</v>
      </c>
      <c r="U89" s="989">
        <f>IF(F89="y",((((N89+O89+T89)*J89)*Rates!$I$379))/24,(((N89+O89+T89)*J89)/24))</f>
        <v>0</v>
      </c>
      <c r="V89" s="1042" t="b">
        <f t="shared" si="15"/>
        <v>0</v>
      </c>
      <c r="W89" s="1043"/>
      <c r="X89" s="990">
        <f>IF(F89="y",(V89*Rates!$D$331+W89),(V89+W89))</f>
        <v>0</v>
      </c>
      <c r="Y89" s="1038">
        <f>X89*Rates!$D$339</f>
        <v>0</v>
      </c>
      <c r="Z89" s="1044">
        <f t="shared" si="16"/>
        <v>0</v>
      </c>
      <c r="AB89" s="987"/>
      <c r="AC89" s="808"/>
    </row>
    <row r="90" spans="1:29" ht="27" hidden="1" customHeight="1" x14ac:dyDescent="0.2">
      <c r="A90" s="37">
        <v>81</v>
      </c>
      <c r="B90" s="1031"/>
      <c r="C90" s="1032"/>
      <c r="D90" s="1033"/>
      <c r="E90" s="1034"/>
      <c r="F90" s="1035"/>
      <c r="G90" s="1035"/>
      <c r="H90" s="70"/>
      <c r="I90" s="1037" t="s">
        <v>632</v>
      </c>
      <c r="J90" s="1124">
        <f t="shared" si="11"/>
        <v>0</v>
      </c>
      <c r="K90" s="1125"/>
      <c r="L90" s="1036"/>
      <c r="M90" s="1034"/>
      <c r="N90" s="1038">
        <f>IF(M90="",0,ROUND(VLOOKUP(M90,Compsch!$A$10:$B$509,2),2))</f>
        <v>0</v>
      </c>
      <c r="O90" s="1038">
        <f t="shared" si="12"/>
        <v>0</v>
      </c>
      <c r="P90" s="1038">
        <f t="shared" si="13"/>
        <v>0</v>
      </c>
      <c r="Q90" s="1039">
        <v>44378</v>
      </c>
      <c r="R90" s="1040">
        <f>IFERROR(IF(Q90="",0,ROUND((VLOOKUP(M90,Compsch!$A$11:$I$390,9)-(VLOOKUP(M90,Compsch!$A$11:$I$390,7)))*(VLOOKUP(Q90,MeritSch!$A$5:$B$370,2)),0)),0)</f>
        <v>0</v>
      </c>
      <c r="S90" s="1038">
        <f t="shared" si="14"/>
        <v>0</v>
      </c>
      <c r="T90" s="1041">
        <f t="shared" si="17"/>
        <v>0</v>
      </c>
      <c r="U90" s="989">
        <f>IF(F90="y",((((N90+O90+T90)*J90)*Rates!$I$379))/24,(((N90+O90+T90)*J90)/24))</f>
        <v>0</v>
      </c>
      <c r="V90" s="1042" t="b">
        <f t="shared" si="15"/>
        <v>0</v>
      </c>
      <c r="W90" s="1043"/>
      <c r="X90" s="990">
        <f>IF(F90="y",(V90*Rates!$D$331+W90),(V90+W90))</f>
        <v>0</v>
      </c>
      <c r="Y90" s="1038">
        <f>X90*Rates!$D$339</f>
        <v>0</v>
      </c>
      <c r="Z90" s="1044">
        <f t="shared" si="16"/>
        <v>0</v>
      </c>
      <c r="AB90" s="987"/>
      <c r="AC90" s="808"/>
    </row>
    <row r="91" spans="1:29" ht="27" hidden="1" customHeight="1" x14ac:dyDescent="0.2">
      <c r="A91" s="37">
        <v>82</v>
      </c>
      <c r="B91" s="1031"/>
      <c r="C91" s="1032"/>
      <c r="D91" s="1033"/>
      <c r="E91" s="1034"/>
      <c r="F91" s="1035"/>
      <c r="G91" s="1035"/>
      <c r="H91" s="70"/>
      <c r="I91" s="1037" t="s">
        <v>632</v>
      </c>
      <c r="J91" s="1124">
        <f t="shared" si="11"/>
        <v>0</v>
      </c>
      <c r="K91" s="1125"/>
      <c r="L91" s="1036"/>
      <c r="M91" s="1034"/>
      <c r="N91" s="1038">
        <f>IF(M91="",0,ROUND(VLOOKUP(M91,Compsch!$A$10:$B$509,2),2))</f>
        <v>0</v>
      </c>
      <c r="O91" s="1038">
        <f t="shared" si="12"/>
        <v>0</v>
      </c>
      <c r="P91" s="1038">
        <f t="shared" si="13"/>
        <v>0</v>
      </c>
      <c r="Q91" s="1039">
        <v>44378</v>
      </c>
      <c r="R91" s="1040">
        <f>IFERROR(IF(Q91="",0,ROUND((VLOOKUP(M91,Compsch!$A$11:$I$390,9)-(VLOOKUP(M91,Compsch!$A$11:$I$390,7)))*(VLOOKUP(Q91,MeritSch!$A$5:$B$370,2)),0)),0)</f>
        <v>0</v>
      </c>
      <c r="S91" s="1038">
        <f t="shared" si="14"/>
        <v>0</v>
      </c>
      <c r="T91" s="1041">
        <f t="shared" si="17"/>
        <v>0</v>
      </c>
      <c r="U91" s="989">
        <f>IF(F91="y",((((N91+O91+T91)*J91)*Rates!$I$379))/24,(((N91+O91+T91)*J91)/24))</f>
        <v>0</v>
      </c>
      <c r="V91" s="1042" t="b">
        <f t="shared" si="15"/>
        <v>0</v>
      </c>
      <c r="W91" s="1043"/>
      <c r="X91" s="990">
        <f>IF(F91="y",(V91*Rates!$D$331+W91),(V91+W91))</f>
        <v>0</v>
      </c>
      <c r="Y91" s="1038">
        <f>X91*Rates!$D$339</f>
        <v>0</v>
      </c>
      <c r="Z91" s="1044">
        <f t="shared" si="16"/>
        <v>0</v>
      </c>
      <c r="AB91" s="987"/>
      <c r="AC91" s="808"/>
    </row>
    <row r="92" spans="1:29" ht="27" hidden="1" customHeight="1" x14ac:dyDescent="0.2">
      <c r="A92" s="37">
        <v>83</v>
      </c>
      <c r="B92" s="1031"/>
      <c r="C92" s="1032"/>
      <c r="D92" s="1033"/>
      <c r="E92" s="1034"/>
      <c r="F92" s="1035"/>
      <c r="G92" s="1035"/>
      <c r="H92" s="70"/>
      <c r="I92" s="1037" t="s">
        <v>632</v>
      </c>
      <c r="J92" s="1124">
        <f t="shared" si="11"/>
        <v>0</v>
      </c>
      <c r="K92" s="1125"/>
      <c r="L92" s="1036"/>
      <c r="M92" s="1034"/>
      <c r="N92" s="1038">
        <f>IF(M92="",0,ROUND(VLOOKUP(M92,Compsch!$A$10:$B$509,2),2))</f>
        <v>0</v>
      </c>
      <c r="O92" s="1038">
        <f t="shared" si="12"/>
        <v>0</v>
      </c>
      <c r="P92" s="1038">
        <f t="shared" si="13"/>
        <v>0</v>
      </c>
      <c r="Q92" s="1039">
        <v>44378</v>
      </c>
      <c r="R92" s="1040">
        <f>IFERROR(IF(Q92="",0,ROUND((VLOOKUP(M92,Compsch!$A$11:$I$390,9)-(VLOOKUP(M92,Compsch!$A$11:$I$390,7)))*(VLOOKUP(Q92,MeritSch!$A$5:$B$370,2)),0)),0)</f>
        <v>0</v>
      </c>
      <c r="S92" s="1038">
        <f t="shared" si="14"/>
        <v>0</v>
      </c>
      <c r="T92" s="1041">
        <f t="shared" si="17"/>
        <v>0</v>
      </c>
      <c r="U92" s="989">
        <f>IF(F92="y",((((N92+O92+T92)*J92)*Rates!$I$379))/24,(((N92+O92+T92)*J92)/24))</f>
        <v>0</v>
      </c>
      <c r="V92" s="1042" t="b">
        <f t="shared" si="15"/>
        <v>0</v>
      </c>
      <c r="W92" s="1043"/>
      <c r="X92" s="990">
        <f>IF(F92="y",(V92*Rates!$D$331+W92),(V92+W92))</f>
        <v>0</v>
      </c>
      <c r="Y92" s="1038">
        <f>X92*Rates!$D$339</f>
        <v>0</v>
      </c>
      <c r="Z92" s="1044">
        <f t="shared" si="16"/>
        <v>0</v>
      </c>
      <c r="AB92" s="987"/>
      <c r="AC92" s="808"/>
    </row>
    <row r="93" spans="1:29" ht="27" hidden="1" customHeight="1" x14ac:dyDescent="0.2">
      <c r="A93" s="37">
        <v>84</v>
      </c>
      <c r="B93" s="1031"/>
      <c r="C93" s="1032"/>
      <c r="D93" s="1033"/>
      <c r="E93" s="1034"/>
      <c r="F93" s="1035"/>
      <c r="G93" s="1035"/>
      <c r="H93" s="70"/>
      <c r="I93" s="1037" t="s">
        <v>632</v>
      </c>
      <c r="J93" s="1124">
        <f t="shared" si="11"/>
        <v>0</v>
      </c>
      <c r="K93" s="1125"/>
      <c r="L93" s="1036"/>
      <c r="M93" s="1034"/>
      <c r="N93" s="1038">
        <f>IF(M93="",0,ROUND(VLOOKUP(M93,Compsch!$A$10:$B$509,2),2))</f>
        <v>0</v>
      </c>
      <c r="O93" s="1038">
        <f t="shared" si="12"/>
        <v>0</v>
      </c>
      <c r="P93" s="1038">
        <f t="shared" si="13"/>
        <v>0</v>
      </c>
      <c r="Q93" s="1039">
        <v>44378</v>
      </c>
      <c r="R93" s="1040">
        <f>IFERROR(IF(Q93="",0,ROUND((VLOOKUP(M93,Compsch!$A$11:$I$390,9)-(VLOOKUP(M93,Compsch!$A$11:$I$390,7)))*(VLOOKUP(Q93,MeritSch!$A$5:$B$370,2)),0)),0)</f>
        <v>0</v>
      </c>
      <c r="S93" s="1038">
        <f t="shared" si="14"/>
        <v>0</v>
      </c>
      <c r="T93" s="1041">
        <f t="shared" si="17"/>
        <v>0</v>
      </c>
      <c r="U93" s="989">
        <f>IF(F93="y",((((N93+O93+T93)*J93)*Rates!$I$379))/24,(((N93+O93+T93)*J93)/24))</f>
        <v>0</v>
      </c>
      <c r="V93" s="1042" t="b">
        <f t="shared" si="15"/>
        <v>0</v>
      </c>
      <c r="W93" s="1043"/>
      <c r="X93" s="990">
        <f>IF(F93="y",(V93*Rates!$D$331+W93),(V93+W93))</f>
        <v>0</v>
      </c>
      <c r="Y93" s="1038">
        <f>X93*Rates!$D$339</f>
        <v>0</v>
      </c>
      <c r="Z93" s="1044">
        <f t="shared" si="16"/>
        <v>0</v>
      </c>
      <c r="AB93" s="987"/>
      <c r="AC93" s="808"/>
    </row>
    <row r="94" spans="1:29" ht="27" hidden="1" customHeight="1" x14ac:dyDescent="0.2">
      <c r="A94" s="37">
        <v>85</v>
      </c>
      <c r="B94" s="1031"/>
      <c r="C94" s="1032"/>
      <c r="D94" s="1033"/>
      <c r="E94" s="1034"/>
      <c r="F94" s="1035"/>
      <c r="G94" s="1035"/>
      <c r="H94" s="70"/>
      <c r="I94" s="1037" t="s">
        <v>632</v>
      </c>
      <c r="J94" s="1124">
        <f t="shared" si="11"/>
        <v>0</v>
      </c>
      <c r="K94" s="1125"/>
      <c r="L94" s="1036"/>
      <c r="M94" s="1034"/>
      <c r="N94" s="1038">
        <f>IF(M94="",0,ROUND(VLOOKUP(M94,Compsch!$A$10:$B$509,2),2))</f>
        <v>0</v>
      </c>
      <c r="O94" s="1038">
        <f t="shared" si="12"/>
        <v>0</v>
      </c>
      <c r="P94" s="1038">
        <f t="shared" si="13"/>
        <v>0</v>
      </c>
      <c r="Q94" s="1039">
        <v>44378</v>
      </c>
      <c r="R94" s="1040">
        <f>IFERROR(IF(Q94="",0,ROUND((VLOOKUP(M94,Compsch!$A$11:$I$390,9)-(VLOOKUP(M94,Compsch!$A$11:$I$390,7)))*(VLOOKUP(Q94,MeritSch!$A$5:$B$370,2)),0)),0)</f>
        <v>0</v>
      </c>
      <c r="S94" s="1038">
        <f t="shared" si="14"/>
        <v>0</v>
      </c>
      <c r="T94" s="1041">
        <f t="shared" si="17"/>
        <v>0</v>
      </c>
      <c r="U94" s="989">
        <f>IF(F94="y",((((N94+O94+T94)*J94)*Rates!$I$379))/24,(((N94+O94+T94)*J94)/24))</f>
        <v>0</v>
      </c>
      <c r="V94" s="1042" t="b">
        <f t="shared" si="15"/>
        <v>0</v>
      </c>
      <c r="W94" s="1043"/>
      <c r="X94" s="990">
        <f>IF(F94="y",(V94*Rates!$D$331+W94),(V94+W94))</f>
        <v>0</v>
      </c>
      <c r="Y94" s="1038">
        <f>X94*Rates!$D$339</f>
        <v>0</v>
      </c>
      <c r="Z94" s="1044">
        <f t="shared" si="16"/>
        <v>0</v>
      </c>
      <c r="AB94" s="987"/>
      <c r="AC94" s="808"/>
    </row>
    <row r="95" spans="1:29" ht="27" hidden="1" customHeight="1" x14ac:dyDescent="0.2">
      <c r="A95" s="37">
        <v>86</v>
      </c>
      <c r="B95" s="1031"/>
      <c r="C95" s="1032"/>
      <c r="D95" s="1033"/>
      <c r="E95" s="1034"/>
      <c r="F95" s="1035"/>
      <c r="G95" s="1035"/>
      <c r="H95" s="70"/>
      <c r="I95" s="1037" t="s">
        <v>632</v>
      </c>
      <c r="J95" s="1124">
        <f t="shared" si="11"/>
        <v>0</v>
      </c>
      <c r="K95" s="1125"/>
      <c r="L95" s="1036"/>
      <c r="M95" s="1034"/>
      <c r="N95" s="1038">
        <f>IF(M95="",0,ROUND(VLOOKUP(M95,Compsch!$A$10:$B$509,2),2))</f>
        <v>0</v>
      </c>
      <c r="O95" s="1038">
        <f t="shared" si="12"/>
        <v>0</v>
      </c>
      <c r="P95" s="1038">
        <f t="shared" si="13"/>
        <v>0</v>
      </c>
      <c r="Q95" s="1039">
        <v>44378</v>
      </c>
      <c r="R95" s="1040">
        <f>IFERROR(IF(Q95="",0,ROUND((VLOOKUP(M95,Compsch!$A$11:$I$390,9)-(VLOOKUP(M95,Compsch!$A$11:$I$390,7)))*(VLOOKUP(Q95,MeritSch!$A$5:$B$370,2)),0)),0)</f>
        <v>0</v>
      </c>
      <c r="S95" s="1038">
        <f t="shared" si="14"/>
        <v>0</v>
      </c>
      <c r="T95" s="1041">
        <f t="shared" si="17"/>
        <v>0</v>
      </c>
      <c r="U95" s="989">
        <f>IF(F95="y",((((N95+O95+T95)*J95)*Rates!$I$379))/24,(((N95+O95+T95)*J95)/24))</f>
        <v>0</v>
      </c>
      <c r="V95" s="1042" t="b">
        <f t="shared" si="15"/>
        <v>0</v>
      </c>
      <c r="W95" s="1043"/>
      <c r="X95" s="990">
        <f>IF(F95="y",(V95*Rates!$D$331+W95),(V95+W95))</f>
        <v>0</v>
      </c>
      <c r="Y95" s="1038">
        <f>X95*Rates!$D$339</f>
        <v>0</v>
      </c>
      <c r="Z95" s="1044">
        <f t="shared" si="16"/>
        <v>0</v>
      </c>
      <c r="AB95" s="987"/>
      <c r="AC95" s="808"/>
    </row>
    <row r="96" spans="1:29" ht="27" hidden="1" customHeight="1" x14ac:dyDescent="0.2">
      <c r="A96" s="37">
        <v>87</v>
      </c>
      <c r="B96" s="1031"/>
      <c r="C96" s="1032"/>
      <c r="D96" s="1033"/>
      <c r="E96" s="1034"/>
      <c r="F96" s="1035"/>
      <c r="G96" s="1035"/>
      <c r="H96" s="70"/>
      <c r="I96" s="1037" t="s">
        <v>632</v>
      </c>
      <c r="J96" s="1124">
        <f t="shared" si="11"/>
        <v>0</v>
      </c>
      <c r="K96" s="1125"/>
      <c r="L96" s="1036"/>
      <c r="M96" s="1034"/>
      <c r="N96" s="1038">
        <f>IF(M96="",0,ROUND(VLOOKUP(M96,Compsch!$A$10:$B$509,2),2))</f>
        <v>0</v>
      </c>
      <c r="O96" s="1038">
        <f t="shared" si="12"/>
        <v>0</v>
      </c>
      <c r="P96" s="1038">
        <f t="shared" si="13"/>
        <v>0</v>
      </c>
      <c r="Q96" s="1039">
        <v>44378</v>
      </c>
      <c r="R96" s="1040">
        <f>IFERROR(IF(Q96="",0,ROUND((VLOOKUP(M96,Compsch!$A$11:$I$390,9)-(VLOOKUP(M96,Compsch!$A$11:$I$390,7)))*(VLOOKUP(Q96,MeritSch!$A$5:$B$370,2)),0)),0)</f>
        <v>0</v>
      </c>
      <c r="S96" s="1038">
        <f t="shared" si="14"/>
        <v>0</v>
      </c>
      <c r="T96" s="1041">
        <f t="shared" si="17"/>
        <v>0</v>
      </c>
      <c r="U96" s="989">
        <f>IF(F96="y",((((N96+O96+T96)*J96)*Rates!$I$379))/24,(((N96+O96+T96)*J96)/24))</f>
        <v>0</v>
      </c>
      <c r="V96" s="1042" t="b">
        <f t="shared" si="15"/>
        <v>0</v>
      </c>
      <c r="W96" s="1043"/>
      <c r="X96" s="990">
        <f>IF(F96="y",(V96*Rates!$D$331+W96),(V96+W96))</f>
        <v>0</v>
      </c>
      <c r="Y96" s="1038">
        <f>X96*Rates!$D$339</f>
        <v>0</v>
      </c>
      <c r="Z96" s="1044">
        <f t="shared" si="16"/>
        <v>0</v>
      </c>
      <c r="AB96" s="987"/>
      <c r="AC96" s="808"/>
    </row>
    <row r="97" spans="1:43" ht="27" hidden="1" customHeight="1" x14ac:dyDescent="0.2">
      <c r="A97" s="37">
        <v>88</v>
      </c>
      <c r="B97" s="1031"/>
      <c r="C97" s="1032"/>
      <c r="D97" s="1033"/>
      <c r="E97" s="1034"/>
      <c r="F97" s="1035"/>
      <c r="G97" s="1035"/>
      <c r="H97" s="70"/>
      <c r="I97" s="1037" t="s">
        <v>632</v>
      </c>
      <c r="J97" s="1124">
        <f t="shared" si="11"/>
        <v>0</v>
      </c>
      <c r="K97" s="1125"/>
      <c r="L97" s="1036"/>
      <c r="M97" s="1034"/>
      <c r="N97" s="1038">
        <f>IF(M97="",0,ROUND(VLOOKUP(M97,Compsch!$A$10:$B$509,2),2))</f>
        <v>0</v>
      </c>
      <c r="O97" s="1038">
        <f t="shared" si="12"/>
        <v>0</v>
      </c>
      <c r="P97" s="1038">
        <f t="shared" si="13"/>
        <v>0</v>
      </c>
      <c r="Q97" s="1039">
        <v>44378</v>
      </c>
      <c r="R97" s="1040">
        <f>IFERROR(IF(Q97="",0,ROUND((VLOOKUP(M97,Compsch!$A$11:$I$390,9)-(VLOOKUP(M97,Compsch!$A$11:$I$390,7)))*(VLOOKUP(Q97,MeritSch!$A$5:$B$370,2)),0)),0)</f>
        <v>0</v>
      </c>
      <c r="S97" s="1038">
        <f t="shared" si="14"/>
        <v>0</v>
      </c>
      <c r="T97" s="1041">
        <f t="shared" si="17"/>
        <v>0</v>
      </c>
      <c r="U97" s="989">
        <f>IF(F97="y",((((N97+O97+T97)*J97)*Rates!$I$379))/24,(((N97+O97+T97)*J97)/24))</f>
        <v>0</v>
      </c>
      <c r="V97" s="1042" t="b">
        <f t="shared" si="15"/>
        <v>0</v>
      </c>
      <c r="W97" s="1043"/>
      <c r="X97" s="990">
        <f>IF(F97="y",(V97*Rates!$D$331+W97),(V97+W97))</f>
        <v>0</v>
      </c>
      <c r="Y97" s="1038">
        <f>X97*Rates!$D$339</f>
        <v>0</v>
      </c>
      <c r="Z97" s="1044">
        <f t="shared" si="16"/>
        <v>0</v>
      </c>
      <c r="AB97" s="987"/>
      <c r="AC97" s="808"/>
    </row>
    <row r="98" spans="1:43" ht="27" hidden="1" customHeight="1" x14ac:dyDescent="0.2">
      <c r="A98" s="37">
        <v>89</v>
      </c>
      <c r="B98" s="1031"/>
      <c r="C98" s="1032"/>
      <c r="D98" s="1033"/>
      <c r="E98" s="1034"/>
      <c r="F98" s="1035"/>
      <c r="G98" s="1035"/>
      <c r="H98" s="70"/>
      <c r="I98" s="1037" t="s">
        <v>632</v>
      </c>
      <c r="J98" s="1124">
        <f t="shared" si="11"/>
        <v>0</v>
      </c>
      <c r="K98" s="1125"/>
      <c r="L98" s="1036"/>
      <c r="M98" s="1034"/>
      <c r="N98" s="1038">
        <f>IF(M98="",0,ROUND(VLOOKUP(M98,Compsch!$A$10:$B$509,2),2))</f>
        <v>0</v>
      </c>
      <c r="O98" s="1038">
        <f t="shared" si="12"/>
        <v>0</v>
      </c>
      <c r="P98" s="1038">
        <f t="shared" si="13"/>
        <v>0</v>
      </c>
      <c r="Q98" s="1039">
        <v>44378</v>
      </c>
      <c r="R98" s="1040">
        <f>IFERROR(IF(Q98="",0,ROUND((VLOOKUP(M98,Compsch!$A$11:$I$390,9)-(VLOOKUP(M98,Compsch!$A$11:$I$390,7)))*(VLOOKUP(Q98,MeritSch!$A$5:$B$370,2)),0)),0)</f>
        <v>0</v>
      </c>
      <c r="S98" s="1038">
        <f t="shared" si="14"/>
        <v>0</v>
      </c>
      <c r="T98" s="1041">
        <f t="shared" si="17"/>
        <v>0</v>
      </c>
      <c r="U98" s="989">
        <f>IF(F98="y",((((N98+O98+T98)*J98)*Rates!$I$379))/24,(((N98+O98+T98)*J98)/24))</f>
        <v>0</v>
      </c>
      <c r="V98" s="1042" t="b">
        <f t="shared" si="15"/>
        <v>0</v>
      </c>
      <c r="W98" s="1043"/>
      <c r="X98" s="990">
        <f>IF(F98="y",(V98*Rates!$D$331+W98),(V98+W98))</f>
        <v>0</v>
      </c>
      <c r="Y98" s="1038">
        <f>X98*Rates!$D$339</f>
        <v>0</v>
      </c>
      <c r="Z98" s="1044">
        <f t="shared" si="16"/>
        <v>0</v>
      </c>
      <c r="AB98" s="987"/>
      <c r="AC98" s="808"/>
    </row>
    <row r="99" spans="1:43" ht="27" hidden="1" customHeight="1" x14ac:dyDescent="0.2">
      <c r="A99" s="37">
        <v>90</v>
      </c>
      <c r="B99" s="1031"/>
      <c r="C99" s="1032"/>
      <c r="D99" s="1033"/>
      <c r="E99" s="1034"/>
      <c r="F99" s="1035"/>
      <c r="G99" s="1035"/>
      <c r="H99" s="70"/>
      <c r="I99" s="1037" t="s">
        <v>632</v>
      </c>
      <c r="J99" s="1124">
        <f t="shared" si="11"/>
        <v>0</v>
      </c>
      <c r="K99" s="1125"/>
      <c r="L99" s="1036"/>
      <c r="M99" s="1034"/>
      <c r="N99" s="1038">
        <f>IF(M99="",0,ROUND(VLOOKUP(M99,Compsch!$A$10:$B$509,2),2))</f>
        <v>0</v>
      </c>
      <c r="O99" s="1038">
        <f t="shared" si="12"/>
        <v>0</v>
      </c>
      <c r="P99" s="1038">
        <f t="shared" si="13"/>
        <v>0</v>
      </c>
      <c r="Q99" s="1039">
        <v>44378</v>
      </c>
      <c r="R99" s="1040">
        <f>IFERROR(IF(Q99="",0,ROUND((VLOOKUP(M99,Compsch!$A$11:$I$390,9)-(VLOOKUP(M99,Compsch!$A$11:$I$390,7)))*(VLOOKUP(Q99,MeritSch!$A$5:$B$370,2)),0)),0)</f>
        <v>0</v>
      </c>
      <c r="S99" s="1038">
        <f t="shared" si="14"/>
        <v>0</v>
      </c>
      <c r="T99" s="1041">
        <f t="shared" si="17"/>
        <v>0</v>
      </c>
      <c r="U99" s="989">
        <f>IF(F99="y",((((N99+O99+T99)*J99)*Rates!$I$379))/24,(((N99+O99+T99)*J99)/24))</f>
        <v>0</v>
      </c>
      <c r="V99" s="1042" t="b">
        <f t="shared" si="15"/>
        <v>0</v>
      </c>
      <c r="W99" s="1043"/>
      <c r="X99" s="990">
        <f>IF(F99="y",(V99*Rates!$D$331+W99),(V99+W99))</f>
        <v>0</v>
      </c>
      <c r="Y99" s="1038">
        <f>X99*Rates!$D$339</f>
        <v>0</v>
      </c>
      <c r="Z99" s="1044">
        <f t="shared" si="16"/>
        <v>0</v>
      </c>
      <c r="AB99" s="987"/>
      <c r="AC99" s="808"/>
    </row>
    <row r="100" spans="1:43" ht="27" hidden="1" customHeight="1" x14ac:dyDescent="0.2">
      <c r="A100" s="37">
        <v>91</v>
      </c>
      <c r="B100" s="1031"/>
      <c r="C100" s="1032"/>
      <c r="D100" s="1033"/>
      <c r="E100" s="1034"/>
      <c r="F100" s="1035"/>
      <c r="G100" s="1035"/>
      <c r="H100" s="70"/>
      <c r="I100" s="1037" t="s">
        <v>632</v>
      </c>
      <c r="J100" s="1124">
        <f t="shared" si="11"/>
        <v>0</v>
      </c>
      <c r="K100" s="1125"/>
      <c r="L100" s="1036"/>
      <c r="M100" s="1034"/>
      <c r="N100" s="1038">
        <f>IF(M100="",0,ROUND(VLOOKUP(M100,Compsch!$A$10:$B$509,2),2))</f>
        <v>0</v>
      </c>
      <c r="O100" s="1038">
        <f t="shared" si="12"/>
        <v>0</v>
      </c>
      <c r="P100" s="1038">
        <f t="shared" si="13"/>
        <v>0</v>
      </c>
      <c r="Q100" s="1039">
        <v>44378</v>
      </c>
      <c r="R100" s="1040">
        <f>IFERROR(IF(Q100="",0,ROUND((VLOOKUP(M100,Compsch!$A$11:$I$390,9)-(VLOOKUP(M100,Compsch!$A$11:$I$390,7)))*(VLOOKUP(Q100,MeritSch!$A$5:$B$370,2)),0)),0)</f>
        <v>0</v>
      </c>
      <c r="S100" s="1038">
        <f t="shared" si="14"/>
        <v>0</v>
      </c>
      <c r="T100" s="1041">
        <f t="shared" si="17"/>
        <v>0</v>
      </c>
      <c r="U100" s="989">
        <f>IF(F100="y",((((N100+O100+T100)*J100)*Rates!$I$379))/24,(((N100+O100+T100)*J100)/24))</f>
        <v>0</v>
      </c>
      <c r="V100" s="1042" t="b">
        <f t="shared" si="15"/>
        <v>0</v>
      </c>
      <c r="W100" s="1043"/>
      <c r="X100" s="990">
        <f>IF(F100="y",(V100*Rates!$D$331+W100),(V100+W100))</f>
        <v>0</v>
      </c>
      <c r="Y100" s="1038">
        <f>X100*Rates!$D$339</f>
        <v>0</v>
      </c>
      <c r="Z100" s="1044">
        <f t="shared" si="16"/>
        <v>0</v>
      </c>
      <c r="AB100" s="987"/>
      <c r="AC100" s="808"/>
    </row>
    <row r="101" spans="1:43" ht="27" hidden="1" customHeight="1" x14ac:dyDescent="0.2">
      <c r="A101" s="37">
        <v>92</v>
      </c>
      <c r="B101" s="1031"/>
      <c r="C101" s="1032"/>
      <c r="D101" s="1033"/>
      <c r="E101" s="1034"/>
      <c r="F101" s="1035"/>
      <c r="G101" s="1035"/>
      <c r="H101" s="70"/>
      <c r="I101" s="1037" t="s">
        <v>632</v>
      </c>
      <c r="J101" s="1124">
        <f t="shared" si="11"/>
        <v>0</v>
      </c>
      <c r="K101" s="1125"/>
      <c r="L101" s="1036"/>
      <c r="M101" s="1034"/>
      <c r="N101" s="1038">
        <f>IF(M101="",0,ROUND(VLOOKUP(M101,Compsch!$A$10:$B$509,2),2))</f>
        <v>0</v>
      </c>
      <c r="O101" s="1038">
        <f t="shared" si="12"/>
        <v>0</v>
      </c>
      <c r="P101" s="1038">
        <f t="shared" si="13"/>
        <v>0</v>
      </c>
      <c r="Q101" s="1039">
        <v>44378</v>
      </c>
      <c r="R101" s="1040">
        <f>IFERROR(IF(Q101="",0,ROUND((VLOOKUP(M101,Compsch!$A$11:$I$390,9)-(VLOOKUP(M101,Compsch!$A$11:$I$390,7)))*(VLOOKUP(Q101,MeritSch!$A$5:$B$370,2)),0)),0)</f>
        <v>0</v>
      </c>
      <c r="S101" s="1038">
        <f t="shared" si="14"/>
        <v>0</v>
      </c>
      <c r="T101" s="1041">
        <f t="shared" si="17"/>
        <v>0</v>
      </c>
      <c r="U101" s="989">
        <f>IF(F101="y",((((N101+O101+T101)*J101)*Rates!$I$379))/24,(((N101+O101+T101)*J101)/24))</f>
        <v>0</v>
      </c>
      <c r="V101" s="1042" t="b">
        <f t="shared" si="15"/>
        <v>0</v>
      </c>
      <c r="W101" s="1043"/>
      <c r="X101" s="990">
        <f>IF(F101="y",(V101*Rates!$D$331+W101),(V101+W101))</f>
        <v>0</v>
      </c>
      <c r="Y101" s="1038">
        <f>X101*Rates!$D$339</f>
        <v>0</v>
      </c>
      <c r="Z101" s="1044">
        <f t="shared" si="16"/>
        <v>0</v>
      </c>
      <c r="AB101" s="987"/>
      <c r="AC101" s="808"/>
    </row>
    <row r="102" spans="1:43" ht="27" hidden="1" customHeight="1" x14ac:dyDescent="0.2">
      <c r="A102" s="37">
        <v>93</v>
      </c>
      <c r="B102" s="1031"/>
      <c r="C102" s="1032"/>
      <c r="D102" s="1033"/>
      <c r="E102" s="1034"/>
      <c r="F102" s="1035"/>
      <c r="G102" s="1035"/>
      <c r="H102" s="70"/>
      <c r="I102" s="1037" t="s">
        <v>632</v>
      </c>
      <c r="J102" s="1124">
        <f t="shared" si="11"/>
        <v>0</v>
      </c>
      <c r="K102" s="1125"/>
      <c r="L102" s="1036"/>
      <c r="M102" s="1034"/>
      <c r="N102" s="1038">
        <f>IF(M102="",0,ROUND(VLOOKUP(M102,Compsch!$A$10:$B$509,2),2))</f>
        <v>0</v>
      </c>
      <c r="O102" s="1038">
        <f t="shared" si="12"/>
        <v>0</v>
      </c>
      <c r="P102" s="1038">
        <f t="shared" si="13"/>
        <v>0</v>
      </c>
      <c r="Q102" s="1039">
        <v>44378</v>
      </c>
      <c r="R102" s="1040">
        <f>IFERROR(IF(Q102="",0,ROUND((VLOOKUP(M102,Compsch!$A$11:$I$390,9)-(VLOOKUP(M102,Compsch!$A$11:$I$390,7)))*(VLOOKUP(Q102,MeritSch!$A$5:$B$370,2)),0)),0)</f>
        <v>0</v>
      </c>
      <c r="S102" s="1038">
        <f t="shared" si="14"/>
        <v>0</v>
      </c>
      <c r="T102" s="1041">
        <f t="shared" si="17"/>
        <v>0</v>
      </c>
      <c r="U102" s="989">
        <f>IF(F102="y",((((N102+O102+T102)*J102)*Rates!$I$379))/24,(((N102+O102+T102)*J102)/24))</f>
        <v>0</v>
      </c>
      <c r="V102" s="1042" t="b">
        <f t="shared" si="15"/>
        <v>0</v>
      </c>
      <c r="W102" s="1043"/>
      <c r="X102" s="990">
        <f>IF(F102="y",(V102*Rates!$D$331+W102),(V102+W102))</f>
        <v>0</v>
      </c>
      <c r="Y102" s="1038">
        <f>X102*Rates!$D$339</f>
        <v>0</v>
      </c>
      <c r="Z102" s="1044">
        <f t="shared" si="16"/>
        <v>0</v>
      </c>
      <c r="AB102" s="987"/>
      <c r="AC102" s="808"/>
    </row>
    <row r="103" spans="1:43" ht="27" hidden="1" customHeight="1" x14ac:dyDescent="0.2">
      <c r="A103" s="37">
        <v>94</v>
      </c>
      <c r="B103" s="1031"/>
      <c r="C103" s="1032"/>
      <c r="D103" s="1033"/>
      <c r="E103" s="1034"/>
      <c r="F103" s="1035"/>
      <c r="G103" s="1035"/>
      <c r="H103" s="70"/>
      <c r="I103" s="1037" t="s">
        <v>632</v>
      </c>
      <c r="J103" s="1124">
        <f t="shared" si="11"/>
        <v>0</v>
      </c>
      <c r="K103" s="1125"/>
      <c r="L103" s="1036"/>
      <c r="M103" s="1034"/>
      <c r="N103" s="1038">
        <f>IF(M103="",0,ROUND(VLOOKUP(M103,Compsch!$A$10:$B$509,2),2))</f>
        <v>0</v>
      </c>
      <c r="O103" s="1038">
        <f t="shared" si="12"/>
        <v>0</v>
      </c>
      <c r="P103" s="1038">
        <f t="shared" si="13"/>
        <v>0</v>
      </c>
      <c r="Q103" s="1039">
        <v>44378</v>
      </c>
      <c r="R103" s="1040">
        <f>IFERROR(IF(Q103="",0,ROUND((VLOOKUP(M103,Compsch!$A$11:$I$390,9)-(VLOOKUP(M103,Compsch!$A$11:$I$390,7)))*(VLOOKUP(Q103,MeritSch!$A$5:$B$370,2)),0)),0)</f>
        <v>0</v>
      </c>
      <c r="S103" s="1038">
        <f t="shared" si="14"/>
        <v>0</v>
      </c>
      <c r="T103" s="1041">
        <f t="shared" si="17"/>
        <v>0</v>
      </c>
      <c r="U103" s="989">
        <f>IF(F103="y",((((N103+O103+T103)*J103)*Rates!$I$379))/24,(((N103+O103+T103)*J103)/24))</f>
        <v>0</v>
      </c>
      <c r="V103" s="1042" t="b">
        <f t="shared" si="15"/>
        <v>0</v>
      </c>
      <c r="W103" s="1043"/>
      <c r="X103" s="990">
        <f>IF(F103="y",(V103*Rates!$D$331+W103),(V103+W103))</f>
        <v>0</v>
      </c>
      <c r="Y103" s="1038">
        <f>X103*Rates!$D$339</f>
        <v>0</v>
      </c>
      <c r="Z103" s="1044">
        <f t="shared" si="16"/>
        <v>0</v>
      </c>
      <c r="AB103" s="987"/>
      <c r="AC103" s="808"/>
    </row>
    <row r="104" spans="1:43" ht="27" hidden="1" customHeight="1" x14ac:dyDescent="0.2">
      <c r="A104" s="37">
        <v>95</v>
      </c>
      <c r="B104" s="1031"/>
      <c r="C104" s="1032"/>
      <c r="D104" s="1033"/>
      <c r="E104" s="1034"/>
      <c r="F104" s="1035"/>
      <c r="G104" s="1035"/>
      <c r="H104" s="70"/>
      <c r="I104" s="1037" t="s">
        <v>632</v>
      </c>
      <c r="J104" s="1124">
        <f t="shared" si="11"/>
        <v>0</v>
      </c>
      <c r="K104" s="1125"/>
      <c r="L104" s="1036"/>
      <c r="M104" s="1034"/>
      <c r="N104" s="1038">
        <f>IF(M104="",0,ROUND(VLOOKUP(M104,Compsch!$A$10:$B$509,2),2))</f>
        <v>0</v>
      </c>
      <c r="O104" s="1038">
        <f t="shared" si="12"/>
        <v>0</v>
      </c>
      <c r="P104" s="1038">
        <f t="shared" si="13"/>
        <v>0</v>
      </c>
      <c r="Q104" s="1039">
        <v>44378</v>
      </c>
      <c r="R104" s="1040">
        <f>IFERROR(IF(Q104="",0,ROUND((VLOOKUP(M104,Compsch!$A$11:$I$390,9)-(VLOOKUP(M104,Compsch!$A$11:$I$390,7)))*(VLOOKUP(Q104,MeritSch!$A$5:$B$370,2)),0)),0)</f>
        <v>0</v>
      </c>
      <c r="S104" s="1038">
        <f t="shared" si="14"/>
        <v>0</v>
      </c>
      <c r="T104" s="1041">
        <f t="shared" si="17"/>
        <v>0</v>
      </c>
      <c r="U104" s="989">
        <f>IF(F104="y",((((N104+O104+T104)*J104)*Rates!$I$379))/24,(((N104+O104+T104)*J104)/24))</f>
        <v>0</v>
      </c>
      <c r="V104" s="1042" t="b">
        <f t="shared" si="15"/>
        <v>0</v>
      </c>
      <c r="W104" s="1043"/>
      <c r="X104" s="990">
        <f>IF(F104="y",(V104*Rates!$D$331+W104),(V104+W104))</f>
        <v>0</v>
      </c>
      <c r="Y104" s="1038">
        <f>X104*Rates!$D$339</f>
        <v>0</v>
      </c>
      <c r="Z104" s="1044">
        <f t="shared" si="16"/>
        <v>0</v>
      </c>
      <c r="AB104" s="987"/>
      <c r="AC104" s="808"/>
    </row>
    <row r="105" spans="1:43" ht="27" hidden="1" customHeight="1" x14ac:dyDescent="0.2">
      <c r="A105" s="37">
        <v>96</v>
      </c>
      <c r="B105" s="1031"/>
      <c r="C105" s="1032"/>
      <c r="D105" s="1033"/>
      <c r="E105" s="1034"/>
      <c r="F105" s="1035"/>
      <c r="G105" s="1035"/>
      <c r="H105" s="70"/>
      <c r="I105" s="1037" t="s">
        <v>632</v>
      </c>
      <c r="J105" s="1124">
        <f t="shared" si="11"/>
        <v>0</v>
      </c>
      <c r="K105" s="1125"/>
      <c r="L105" s="1036"/>
      <c r="M105" s="1034"/>
      <c r="N105" s="1038">
        <f>IF(M105="",0,ROUND(VLOOKUP(M105,Compsch!$A$10:$B$509,2),2))</f>
        <v>0</v>
      </c>
      <c r="O105" s="1038">
        <f t="shared" si="12"/>
        <v>0</v>
      </c>
      <c r="P105" s="1038">
        <f t="shared" si="13"/>
        <v>0</v>
      </c>
      <c r="Q105" s="1039">
        <v>44378</v>
      </c>
      <c r="R105" s="1040">
        <f>IFERROR(IF(Q105="",0,ROUND((VLOOKUP(M105,Compsch!$A$11:$I$390,9)-(VLOOKUP(M105,Compsch!$A$11:$I$390,7)))*(VLOOKUP(Q105,MeritSch!$A$5:$B$370,2)),0)),0)</f>
        <v>0</v>
      </c>
      <c r="S105" s="1038">
        <f t="shared" si="14"/>
        <v>0</v>
      </c>
      <c r="T105" s="1041">
        <f t="shared" si="17"/>
        <v>0</v>
      </c>
      <c r="U105" s="989">
        <f>IF(F105="y",((((N105+O105+T105)*J105)*Rates!$I$379))/24,(((N105+O105+T105)*J105)/24))</f>
        <v>0</v>
      </c>
      <c r="V105" s="1042" t="b">
        <f t="shared" si="15"/>
        <v>0</v>
      </c>
      <c r="W105" s="1043"/>
      <c r="X105" s="990">
        <f>IF(F105="y",(V105*Rates!$D$331+W105),(V105+W105))</f>
        <v>0</v>
      </c>
      <c r="Y105" s="1038">
        <f>X105*Rates!$D$339</f>
        <v>0</v>
      </c>
      <c r="Z105" s="1044">
        <f t="shared" si="16"/>
        <v>0</v>
      </c>
      <c r="AB105" s="987"/>
      <c r="AC105" s="808"/>
    </row>
    <row r="106" spans="1:43" ht="27" hidden="1" customHeight="1" x14ac:dyDescent="0.2">
      <c r="A106" s="37">
        <v>97</v>
      </c>
      <c r="B106" s="1031"/>
      <c r="C106" s="1032"/>
      <c r="D106" s="1033"/>
      <c r="E106" s="1034"/>
      <c r="F106" s="1035"/>
      <c r="G106" s="1035"/>
      <c r="H106" s="70"/>
      <c r="I106" s="1037" t="s">
        <v>632</v>
      </c>
      <c r="J106" s="1124">
        <f t="shared" si="11"/>
        <v>0</v>
      </c>
      <c r="K106" s="1125"/>
      <c r="L106" s="1036"/>
      <c r="M106" s="1034"/>
      <c r="N106" s="1038">
        <f>IF(M106="",0,ROUND(VLOOKUP(M106,Compsch!$A$10:$B$509,2),2))</f>
        <v>0</v>
      </c>
      <c r="O106" s="1038">
        <f>N106*IF(G106="Both",0.05*2,IF(G106="",0,0.05))</f>
        <v>0</v>
      </c>
      <c r="P106" s="1038">
        <f t="shared" si="13"/>
        <v>0</v>
      </c>
      <c r="Q106" s="1039">
        <v>44378</v>
      </c>
      <c r="R106" s="1040">
        <f>IFERROR(IF(Q106="",0,ROUND((VLOOKUP(M106,Compsch!$A$11:$I$390,9)-(VLOOKUP(M106,Compsch!$A$11:$I$390,7)))*(VLOOKUP(Q106,MeritSch!$A$5:$B$370,2)),0)),0)</f>
        <v>0</v>
      </c>
      <c r="S106" s="1038">
        <f>R106*IF(G106="Both",0.05*2,IF(G106="",0,0.05))*(I106&lt;&gt;"Y")</f>
        <v>0</v>
      </c>
      <c r="T106" s="1041">
        <f t="shared" si="17"/>
        <v>0</v>
      </c>
      <c r="U106" s="989">
        <f>IF(F106="y",((((N106+O106+T106)*J106)*Rates!$I$379))/24,(((N106+O106+T106)*J106)/24))</f>
        <v>0</v>
      </c>
      <c r="V106" s="1042" t="b">
        <f t="shared" si="15"/>
        <v>0</v>
      </c>
      <c r="W106" s="1043"/>
      <c r="X106" s="990">
        <f>IF(F106="y",(V106*Rates!$D$331+W106),(V106+W106))</f>
        <v>0</v>
      </c>
      <c r="Y106" s="1038">
        <f>X106*Rates!$D$339</f>
        <v>0</v>
      </c>
      <c r="Z106" s="1044">
        <f>SUM(Y106:Y106)</f>
        <v>0</v>
      </c>
      <c r="AB106" s="987"/>
      <c r="AC106" s="808"/>
    </row>
    <row r="107" spans="1:43" ht="27" hidden="1" customHeight="1" x14ac:dyDescent="0.2">
      <c r="A107" s="37">
        <v>98</v>
      </c>
      <c r="B107" s="1031"/>
      <c r="C107" s="1032"/>
      <c r="D107" s="1033"/>
      <c r="E107" s="1034"/>
      <c r="F107" s="1035"/>
      <c r="G107" s="1035"/>
      <c r="H107" s="70"/>
      <c r="I107" s="1037" t="s">
        <v>632</v>
      </c>
      <c r="J107" s="1124">
        <f t="shared" si="11"/>
        <v>0</v>
      </c>
      <c r="K107" s="1125"/>
      <c r="L107" s="1036"/>
      <c r="M107" s="1034"/>
      <c r="N107" s="1038">
        <f>IF(M107="",0,ROUND(VLOOKUP(M107,Compsch!$A$10:$B$509,2),2))</f>
        <v>0</v>
      </c>
      <c r="O107" s="1038">
        <f>N107*IF(G107="Both",0.05*2,IF(G107="",0,0.05))</f>
        <v>0</v>
      </c>
      <c r="P107" s="1038">
        <f t="shared" si="13"/>
        <v>0</v>
      </c>
      <c r="Q107" s="1039">
        <v>44378</v>
      </c>
      <c r="R107" s="1040">
        <f>IFERROR(IF(Q107="",0,ROUND((VLOOKUP(M107,Compsch!$A$11:$I$390,9)-(VLOOKUP(M107,Compsch!$A$11:$I$390,7)))*(VLOOKUP(Q107,MeritSch!$A$5:$B$370,2)),0)),0)</f>
        <v>0</v>
      </c>
      <c r="S107" s="1038">
        <f>R107*IF(G107="Both",0.05*2,IF(G107="",0,0.05))*(I107&lt;&gt;"Y")</f>
        <v>0</v>
      </c>
      <c r="T107" s="1041">
        <f t="shared" si="17"/>
        <v>0</v>
      </c>
      <c r="U107" s="989">
        <f>IF(F107="y",((((N107+O107+T107)*J107)*Rates!$I$379))/24,(((N107+O107+T107)*J107)/24))</f>
        <v>0</v>
      </c>
      <c r="V107" s="1042" t="b">
        <f t="shared" si="15"/>
        <v>0</v>
      </c>
      <c r="W107" s="1043"/>
      <c r="X107" s="990">
        <f>IF(F107="y",(V107*Rates!$D$331+W107),(V107+W107))</f>
        <v>0</v>
      </c>
      <c r="Y107" s="1038">
        <f>X107*Rates!$D$339</f>
        <v>0</v>
      </c>
      <c r="Z107" s="1044">
        <f>SUM(Y107:Y107)</f>
        <v>0</v>
      </c>
      <c r="AB107" s="987"/>
      <c r="AC107" s="808"/>
    </row>
    <row r="108" spans="1:43" ht="27" hidden="1" customHeight="1" x14ac:dyDescent="0.2">
      <c r="A108" s="37">
        <v>99</v>
      </c>
      <c r="B108" s="1031"/>
      <c r="C108" s="1032"/>
      <c r="D108" s="1033"/>
      <c r="E108" s="1034"/>
      <c r="F108" s="1035"/>
      <c r="G108" s="1035"/>
      <c r="H108" s="70"/>
      <c r="I108" s="1037" t="s">
        <v>632</v>
      </c>
      <c r="J108" s="1124">
        <f t="shared" si="11"/>
        <v>0</v>
      </c>
      <c r="K108" s="1125"/>
      <c r="L108" s="1036"/>
      <c r="M108" s="1034"/>
      <c r="N108" s="1038">
        <f>IF(M108="",0,ROUND(VLOOKUP(M108,Compsch!$A$10:$B$509,2),2))</f>
        <v>0</v>
      </c>
      <c r="O108" s="1038">
        <f>N108*IF(G108="Both",0.05*2,IF(G108="",0,0.05))</f>
        <v>0</v>
      </c>
      <c r="P108" s="1038">
        <f t="shared" si="13"/>
        <v>0</v>
      </c>
      <c r="Q108" s="1039">
        <v>44378</v>
      </c>
      <c r="R108" s="1040">
        <f>IFERROR(IF(Q108="",0,ROUND((VLOOKUP(M108,Compsch!$A$11:$I$390,9)-(VLOOKUP(M108,Compsch!$A$11:$I$390,7)))*(VLOOKUP(Q108,MeritSch!$A$5:$B$370,2)),0)),0)</f>
        <v>0</v>
      </c>
      <c r="S108" s="1038">
        <f>R108*IF(G108="Both",0.05*2,IF(G108="",0,0.05))*(I108&lt;&gt;"Y")</f>
        <v>0</v>
      </c>
      <c r="T108" s="1041">
        <f t="shared" si="17"/>
        <v>0</v>
      </c>
      <c r="U108" s="989">
        <f>IF(F108="y",((((N108+O108+T108)*J108)*Rates!$I$379))/24,(((N108+O108+T108)*J108)/24))</f>
        <v>0</v>
      </c>
      <c r="V108" s="1042" t="b">
        <f t="shared" si="15"/>
        <v>0</v>
      </c>
      <c r="W108" s="1043"/>
      <c r="X108" s="990">
        <f>IF(F108="y",(V108*Rates!$D$331+W108),(V108+W108))</f>
        <v>0</v>
      </c>
      <c r="Y108" s="1038">
        <f>X108*Rates!$D$339</f>
        <v>0</v>
      </c>
      <c r="Z108" s="1044">
        <f>SUM(Y108:Y108)</f>
        <v>0</v>
      </c>
      <c r="AB108" s="987"/>
      <c r="AC108" s="808"/>
    </row>
    <row r="109" spans="1:43" ht="27" hidden="1" customHeight="1" x14ac:dyDescent="0.2">
      <c r="A109" s="37">
        <v>100</v>
      </c>
      <c r="B109" s="1031"/>
      <c r="C109" s="1032"/>
      <c r="D109" s="1033"/>
      <c r="E109" s="1034"/>
      <c r="F109" s="1035"/>
      <c r="G109" s="1035"/>
      <c r="H109" s="70"/>
      <c r="I109" s="1037" t="s">
        <v>632</v>
      </c>
      <c r="J109" s="1124">
        <f t="shared" si="11"/>
        <v>0</v>
      </c>
      <c r="K109" s="1125"/>
      <c r="L109" s="1036"/>
      <c r="M109" s="1034"/>
      <c r="N109" s="1038">
        <f>IF(M109="",0,ROUND(VLOOKUP(M109,Compsch!$A$10:$B$509,2),2))</f>
        <v>0</v>
      </c>
      <c r="O109" s="1038">
        <f>N109*IF(G109="Both",0.05*2,IF(G109="",0,0.05))</f>
        <v>0</v>
      </c>
      <c r="P109" s="1038">
        <f t="shared" si="13"/>
        <v>0</v>
      </c>
      <c r="Q109" s="1039">
        <v>44378</v>
      </c>
      <c r="R109" s="1040">
        <f>IFERROR(IF(Q109="",0,ROUND((VLOOKUP(M109,Compsch!$A$11:$I$390,9)-(VLOOKUP(M109,Compsch!$A$11:$I$390,7)))*(VLOOKUP(Q109,MeritSch!$A$5:$B$370,2)),0)),0)</f>
        <v>0</v>
      </c>
      <c r="S109" s="1038">
        <f>R109*IF(G109="Both",0.05*2,IF(G109="",0,0.05))*(I109&lt;&gt;"Y")</f>
        <v>0</v>
      </c>
      <c r="T109" s="1041">
        <f t="shared" si="17"/>
        <v>0</v>
      </c>
      <c r="U109" s="989">
        <f>IF(F109="y",((((N109+O109+T109)*J109)*Rates!$I$379))/24,(((N109+O109+T109)*J109)/24))</f>
        <v>0</v>
      </c>
      <c r="V109" s="1042" t="b">
        <f t="shared" si="15"/>
        <v>0</v>
      </c>
      <c r="W109" s="1043"/>
      <c r="X109" s="990">
        <f>IF(F109="y",(V109*Rates!$D$331+W109),(V109+W109))</f>
        <v>0</v>
      </c>
      <c r="Y109" s="1038">
        <f>X109*Rates!$D$339</f>
        <v>0</v>
      </c>
      <c r="Z109" s="1044">
        <f>SUM(Y109:Y109)</f>
        <v>0</v>
      </c>
      <c r="AB109" s="987"/>
      <c r="AC109" s="808"/>
    </row>
    <row r="110" spans="1:43" x14ac:dyDescent="0.2">
      <c r="A110" s="112"/>
      <c r="B110" s="126"/>
      <c r="C110" s="127"/>
      <c r="D110" s="126"/>
      <c r="E110" s="126"/>
      <c r="F110" s="126"/>
      <c r="G110" s="126"/>
      <c r="H110" s="126"/>
      <c r="I110" s="126"/>
      <c r="J110" s="126"/>
      <c r="K110" s="126"/>
      <c r="L110" s="126"/>
      <c r="M110" s="784"/>
      <c r="N110" s="126"/>
      <c r="O110" s="126"/>
      <c r="P110" s="126"/>
      <c r="Q110" s="126"/>
      <c r="R110" s="126"/>
      <c r="S110" s="126"/>
      <c r="T110" s="126"/>
      <c r="U110" s="126"/>
      <c r="V110" s="126"/>
      <c r="W110" s="126"/>
      <c r="X110" s="126"/>
      <c r="Y110" s="126"/>
      <c r="Z110" s="126"/>
      <c r="AB110" s="38"/>
      <c r="AC110" s="1162"/>
    </row>
    <row r="111" spans="1:43" s="63" customFormat="1" ht="25.5" customHeight="1" x14ac:dyDescent="0.2">
      <c r="A111" s="112"/>
      <c r="B111" s="78" t="s">
        <v>655</v>
      </c>
      <c r="C111" s="774"/>
      <c r="D111" s="78"/>
      <c r="E111" s="78"/>
      <c r="F111" s="55"/>
      <c r="G111" s="55"/>
      <c r="H111" s="111"/>
      <c r="J111" s="1045">
        <f>ROUND(SUM(J10:J109),2)</f>
        <v>0</v>
      </c>
      <c r="K111" s="1045">
        <f>SUM(K10:K109)</f>
        <v>0</v>
      </c>
      <c r="M111" s="785"/>
      <c r="N111" s="1046">
        <f>SUM(N10:N110)</f>
        <v>0</v>
      </c>
      <c r="O111" s="1046">
        <f>SUM(O10:O110)</f>
        <v>0</v>
      </c>
      <c r="P111" s="56"/>
      <c r="R111" s="1046">
        <f>SUM(R10:R110)</f>
        <v>0</v>
      </c>
      <c r="S111" s="126"/>
      <c r="T111" s="126"/>
      <c r="X111" s="1046">
        <f>ROUND(SUM(X10:X109),0)</f>
        <v>0</v>
      </c>
      <c r="Z111" s="1046">
        <f>ROUND(SUM(Z10:Z109),0)</f>
        <v>0</v>
      </c>
      <c r="AB111" s="38"/>
      <c r="AC111" s="1162"/>
      <c r="AQ111" s="35"/>
    </row>
    <row r="112" spans="1:43" s="63" customFormat="1" x14ac:dyDescent="0.2">
      <c r="A112" s="112"/>
      <c r="J112" s="56" t="s">
        <v>243</v>
      </c>
      <c r="K112" s="56" t="s">
        <v>243</v>
      </c>
      <c r="M112" s="785"/>
      <c r="N112" s="56" t="s">
        <v>654</v>
      </c>
      <c r="O112" s="56" t="s">
        <v>643</v>
      </c>
      <c r="P112" s="56"/>
      <c r="X112" s="56" t="s">
        <v>534</v>
      </c>
      <c r="Z112" s="80" t="s">
        <v>18</v>
      </c>
      <c r="AB112" s="38"/>
      <c r="AC112" s="1162"/>
      <c r="AQ112" s="69"/>
    </row>
    <row r="113" spans="1:43" s="63" customFormat="1" ht="12.75" x14ac:dyDescent="0.2">
      <c r="A113" s="112"/>
      <c r="B113" s="1398" t="str">
        <f>'SUMMARY FORM'!N15&amp;" INSTRUCTIONS HIGHLIGHT:  Classified Step Increases"</f>
        <v>FY21 INSTRUCTIONS HIGHLIGHT:  Classified Step Increases</v>
      </c>
      <c r="C113" s="1399"/>
      <c r="D113" s="1399"/>
      <c r="E113" s="1399"/>
      <c r="F113" s="1399"/>
      <c r="G113" s="1399"/>
      <c r="H113" s="1399"/>
      <c r="I113" s="830"/>
      <c r="J113" s="831"/>
      <c r="K113" s="831"/>
      <c r="L113" s="830"/>
      <c r="M113" s="785"/>
      <c r="N113" s="830"/>
      <c r="O113" s="830"/>
      <c r="P113" s="830"/>
      <c r="Q113" s="830"/>
      <c r="R113" s="830"/>
      <c r="S113" s="830"/>
      <c r="T113" s="830"/>
      <c r="U113" s="830"/>
      <c r="V113" s="830"/>
      <c r="W113" s="830"/>
      <c r="X113" s="830"/>
      <c r="Y113" s="830"/>
      <c r="Z113" s="830"/>
      <c r="AB113" s="38"/>
      <c r="AC113" s="1162"/>
      <c r="AQ113" s="69"/>
    </row>
    <row r="114" spans="1:43" s="63" customFormat="1" ht="12.75" x14ac:dyDescent="0.2">
      <c r="A114" s="112"/>
      <c r="B114" s="1400" t="s">
        <v>857</v>
      </c>
      <c r="C114" s="1401"/>
      <c r="D114" s="1402" t="s">
        <v>1111</v>
      </c>
      <c r="E114" s="1402"/>
      <c r="F114" s="1402"/>
      <c r="G114" s="1402"/>
      <c r="H114" s="1402"/>
      <c r="I114" s="832"/>
      <c r="J114" s="832"/>
      <c r="K114" s="832"/>
      <c r="L114" s="832"/>
      <c r="M114" s="832"/>
      <c r="N114" s="832"/>
      <c r="O114" s="832"/>
      <c r="P114" s="832"/>
      <c r="Q114" s="832"/>
      <c r="R114" s="832"/>
      <c r="S114" s="832"/>
      <c r="T114" s="832"/>
      <c r="U114" s="832"/>
      <c r="V114" s="832"/>
      <c r="W114" s="832"/>
      <c r="X114" s="832"/>
      <c r="AB114" s="38"/>
      <c r="AC114" s="1162"/>
      <c r="AQ114" s="488"/>
    </row>
    <row r="115" spans="1:43" s="63" customFormat="1" ht="13.5" customHeight="1" x14ac:dyDescent="0.2">
      <c r="A115" s="112"/>
      <c r="B115" s="1403">
        <v>44378</v>
      </c>
      <c r="C115" s="1404"/>
      <c r="D115" s="1409" t="s">
        <v>3868</v>
      </c>
      <c r="E115" s="1410"/>
      <c r="F115" s="1410"/>
      <c r="G115" s="1410"/>
      <c r="H115" s="1411"/>
      <c r="I115" s="832"/>
      <c r="J115" s="832"/>
      <c r="K115" s="832"/>
      <c r="L115" s="832"/>
      <c r="M115" s="832"/>
      <c r="N115" s="832"/>
      <c r="O115" s="832"/>
      <c r="P115" s="832"/>
      <c r="Q115" s="832"/>
      <c r="R115" s="832"/>
      <c r="S115" s="832"/>
      <c r="T115" s="832"/>
      <c r="U115" s="832"/>
      <c r="V115" s="832"/>
      <c r="W115" s="832"/>
      <c r="X115" s="832"/>
      <c r="AB115" s="38"/>
      <c r="AC115" s="1162"/>
      <c r="AQ115" s="488"/>
    </row>
    <row r="116" spans="1:43" s="63" customFormat="1" ht="13.5" customHeight="1" x14ac:dyDescent="0.2">
      <c r="A116" s="112"/>
      <c r="B116" s="1405"/>
      <c r="C116" s="1406"/>
      <c r="D116" s="1412"/>
      <c r="E116" s="1413"/>
      <c r="F116" s="1413"/>
      <c r="G116" s="1413"/>
      <c r="H116" s="1414"/>
      <c r="I116" s="832"/>
      <c r="J116" s="832"/>
      <c r="K116" s="832"/>
      <c r="L116" s="832"/>
      <c r="M116" s="832"/>
      <c r="N116" s="832"/>
      <c r="O116" s="832"/>
      <c r="P116" s="832"/>
      <c r="Q116" s="832"/>
      <c r="R116" s="832"/>
      <c r="S116" s="832"/>
      <c r="T116" s="832"/>
      <c r="U116" s="832"/>
      <c r="V116" s="832"/>
      <c r="W116" s="832"/>
      <c r="X116" s="832"/>
      <c r="AB116" s="38"/>
      <c r="AC116" s="1162"/>
      <c r="AQ116" s="488"/>
    </row>
    <row r="117" spans="1:43" s="63" customFormat="1" ht="13.5" customHeight="1" x14ac:dyDescent="0.2">
      <c r="A117" s="112"/>
      <c r="B117" s="1405"/>
      <c r="C117" s="1406"/>
      <c r="D117" s="1412"/>
      <c r="E117" s="1413"/>
      <c r="F117" s="1413"/>
      <c r="G117" s="1413"/>
      <c r="H117" s="1414"/>
      <c r="I117" s="832"/>
      <c r="J117" s="833"/>
      <c r="K117" s="833"/>
      <c r="L117" s="832"/>
      <c r="M117" s="834"/>
      <c r="N117" s="832"/>
      <c r="O117" s="832"/>
      <c r="P117" s="832"/>
      <c r="Q117" s="832"/>
      <c r="R117" s="832"/>
      <c r="S117" s="832"/>
      <c r="T117" s="832"/>
      <c r="U117" s="832"/>
      <c r="V117" s="832"/>
      <c r="W117" s="832"/>
      <c r="X117" s="832"/>
      <c r="Y117" s="832"/>
      <c r="Z117" s="832"/>
      <c r="AB117" s="38"/>
      <c r="AC117" s="1162"/>
      <c r="AQ117" s="488"/>
    </row>
    <row r="118" spans="1:43" s="63" customFormat="1" ht="13.5" customHeight="1" x14ac:dyDescent="0.2">
      <c r="A118" s="112"/>
      <c r="B118" s="1407"/>
      <c r="C118" s="1408"/>
      <c r="D118" s="1415"/>
      <c r="E118" s="1416"/>
      <c r="F118" s="1416"/>
      <c r="G118" s="1416"/>
      <c r="H118" s="1417"/>
      <c r="I118" s="832"/>
      <c r="J118" s="833"/>
      <c r="K118" s="833"/>
      <c r="L118" s="832"/>
      <c r="M118" s="834"/>
      <c r="N118" s="832"/>
      <c r="O118" s="832"/>
      <c r="P118" s="832"/>
      <c r="Q118" s="832"/>
      <c r="R118" s="832"/>
      <c r="S118" s="832"/>
      <c r="T118" s="832"/>
      <c r="U118" s="832"/>
      <c r="V118" s="832"/>
      <c r="W118" s="832"/>
      <c r="X118" s="832"/>
      <c r="Y118" s="832"/>
      <c r="Z118" s="832"/>
      <c r="AB118" s="38"/>
      <c r="AC118" s="1162"/>
      <c r="AQ118" s="488"/>
    </row>
    <row r="119" spans="1:43" s="63" customFormat="1" ht="12.75" x14ac:dyDescent="0.2">
      <c r="A119" s="112"/>
      <c r="B119" s="832"/>
      <c r="C119" s="832"/>
      <c r="D119" s="832"/>
      <c r="E119" s="832"/>
      <c r="F119" s="832"/>
      <c r="G119" s="832"/>
      <c r="H119" s="832"/>
      <c r="I119" s="832"/>
      <c r="J119" s="833"/>
      <c r="K119" s="833"/>
      <c r="L119" s="832"/>
      <c r="M119" s="834"/>
      <c r="N119" s="832"/>
      <c r="O119" s="832"/>
      <c r="P119" s="832"/>
      <c r="Q119" s="832"/>
      <c r="R119" s="832"/>
      <c r="S119" s="832"/>
      <c r="T119" s="832"/>
      <c r="U119" s="832"/>
      <c r="V119" s="832"/>
      <c r="W119" s="832"/>
      <c r="X119" s="832"/>
      <c r="Y119" s="832"/>
      <c r="Z119" s="832"/>
      <c r="AB119" s="38"/>
      <c r="AC119" s="1162"/>
      <c r="AQ119" s="488"/>
    </row>
    <row r="120" spans="1:43" s="63" customFormat="1" ht="28.5" customHeight="1" x14ac:dyDescent="0.25">
      <c r="A120" s="112"/>
      <c r="B120" s="1330" t="s">
        <v>3867</v>
      </c>
      <c r="C120" s="1331"/>
      <c r="D120" s="1332"/>
      <c r="E120" s="832"/>
      <c r="F120" s="833"/>
      <c r="G120" s="832"/>
      <c r="H120" s="834"/>
      <c r="I120" s="832"/>
      <c r="J120" s="832"/>
      <c r="K120" s="832"/>
      <c r="L120" s="832"/>
      <c r="M120" s="832"/>
      <c r="N120" s="832"/>
      <c r="O120" s="832"/>
      <c r="AB120" s="38"/>
      <c r="AC120" s="1162"/>
      <c r="AQ120" s="488"/>
    </row>
    <row r="121" spans="1:43" s="63" customFormat="1" ht="27" customHeight="1" x14ac:dyDescent="0.2">
      <c r="A121" s="112"/>
      <c r="B121" s="1418" t="str">
        <f>"Complete the Create Position request in Workday with the following comment-- 
New Position approved in FY21 Budget on "&amp;'SUMMARY FORM'!N6&amp;"."</f>
        <v>Complete the Create Position request in Workday with the following comment-- 
New Position approved in FY21 Budget on NEW.</v>
      </c>
      <c r="C121" s="1419"/>
      <c r="D121" s="1420"/>
      <c r="E121" s="832"/>
      <c r="F121" s="833"/>
      <c r="G121" s="832"/>
      <c r="H121" s="834"/>
      <c r="I121" s="832"/>
      <c r="J121" s="832"/>
      <c r="K121" s="832"/>
      <c r="L121" s="832"/>
      <c r="M121" s="832"/>
      <c r="N121" s="832"/>
      <c r="O121" s="832"/>
      <c r="AB121" s="38"/>
      <c r="AC121" s="1162"/>
      <c r="AQ121" s="488"/>
    </row>
    <row r="122" spans="1:43" x14ac:dyDescent="0.2">
      <c r="A122" s="112"/>
      <c r="B122" s="490"/>
      <c r="C122" s="490"/>
      <c r="D122" s="490"/>
      <c r="E122" s="490"/>
      <c r="F122" s="490"/>
      <c r="G122" s="490"/>
      <c r="H122" s="490"/>
      <c r="I122" s="490"/>
      <c r="J122" s="490"/>
      <c r="K122" s="490"/>
      <c r="L122" s="490"/>
      <c r="M122" s="786"/>
      <c r="N122" s="490"/>
      <c r="O122" s="490"/>
      <c r="P122" s="490"/>
      <c r="Q122" s="490"/>
      <c r="R122" s="490"/>
      <c r="S122" s="490"/>
      <c r="T122" s="490"/>
      <c r="U122" s="490"/>
      <c r="V122" s="490"/>
      <c r="W122" s="490"/>
      <c r="X122" s="490"/>
      <c r="Y122" s="490"/>
      <c r="Z122" s="490"/>
      <c r="AB122" s="38"/>
      <c r="AC122" s="1162"/>
      <c r="AQ122" s="488"/>
    </row>
    <row r="123" spans="1:43" x14ac:dyDescent="0.2">
      <c r="A123" s="112"/>
      <c r="B123" s="490"/>
      <c r="C123" s="490"/>
      <c r="D123" s="490"/>
      <c r="E123" s="490"/>
      <c r="F123" s="490"/>
      <c r="G123" s="490"/>
      <c r="H123" s="490"/>
      <c r="I123" s="490"/>
      <c r="J123" s="490"/>
      <c r="K123" s="490"/>
      <c r="L123" s="490"/>
      <c r="M123" s="786"/>
      <c r="N123" s="490"/>
      <c r="O123" s="490"/>
      <c r="P123" s="490"/>
      <c r="Q123" s="490"/>
      <c r="R123" s="490"/>
      <c r="S123" s="490"/>
      <c r="T123" s="490"/>
      <c r="U123" s="490"/>
      <c r="V123" s="490"/>
      <c r="W123" s="490"/>
      <c r="X123" s="490"/>
      <c r="Y123" s="490"/>
      <c r="Z123" s="490"/>
      <c r="AB123" s="38"/>
      <c r="AC123" s="1162"/>
      <c r="AQ123" s="488"/>
    </row>
    <row r="124" spans="1:43" x14ac:dyDescent="0.2">
      <c r="A124" s="112"/>
      <c r="B124" s="490"/>
      <c r="C124" s="490"/>
      <c r="D124" s="490"/>
      <c r="E124" s="490"/>
      <c r="F124" s="490"/>
      <c r="G124" s="490"/>
      <c r="H124" s="490"/>
      <c r="I124" s="490"/>
      <c r="J124" s="490"/>
      <c r="K124" s="490"/>
      <c r="L124" s="490"/>
      <c r="M124" s="786"/>
      <c r="N124" s="490"/>
      <c r="O124" s="490"/>
      <c r="P124" s="490"/>
      <c r="Q124" s="490"/>
      <c r="R124" s="490"/>
      <c r="S124" s="490"/>
      <c r="T124" s="490"/>
      <c r="U124" s="490"/>
      <c r="V124" s="490"/>
      <c r="W124" s="490"/>
      <c r="X124" s="490"/>
      <c r="Y124" s="490"/>
      <c r="Z124" s="490"/>
      <c r="AB124" s="38"/>
      <c r="AC124" s="1162"/>
      <c r="AQ124" s="488"/>
    </row>
    <row r="125" spans="1:43" x14ac:dyDescent="0.2">
      <c r="A125" s="112"/>
      <c r="B125" s="63"/>
      <c r="C125" s="63"/>
      <c r="D125" s="63"/>
      <c r="E125" s="63"/>
      <c r="F125" s="63"/>
      <c r="G125" s="63"/>
      <c r="H125" s="63"/>
      <c r="I125" s="63"/>
      <c r="J125" s="63"/>
      <c r="K125" s="63"/>
      <c r="L125" s="63"/>
      <c r="M125" s="785"/>
      <c r="N125" s="63"/>
      <c r="O125" s="63"/>
      <c r="P125" s="63"/>
      <c r="Q125" s="63"/>
      <c r="R125" s="63"/>
      <c r="S125" s="63"/>
      <c r="T125" s="63"/>
      <c r="U125" s="63"/>
      <c r="V125" s="63"/>
      <c r="W125" s="63"/>
      <c r="X125" s="63"/>
      <c r="Y125" s="63"/>
      <c r="Z125" s="63"/>
      <c r="AB125" s="487"/>
      <c r="AC125" s="1163"/>
      <c r="AQ125" s="488"/>
    </row>
    <row r="126" spans="1:43" x14ac:dyDescent="0.2">
      <c r="A126" s="112"/>
      <c r="B126" s="63"/>
      <c r="C126" s="63"/>
      <c r="D126" s="63"/>
      <c r="E126" s="63"/>
      <c r="F126" s="63"/>
      <c r="G126" s="63"/>
      <c r="H126" s="63"/>
      <c r="I126" s="63"/>
      <c r="J126" s="63"/>
      <c r="K126" s="63"/>
      <c r="L126" s="63"/>
      <c r="M126" s="785"/>
      <c r="N126" s="63"/>
      <c r="O126" s="63"/>
      <c r="P126" s="63"/>
      <c r="Q126" s="63"/>
      <c r="R126" s="63"/>
      <c r="S126" s="63"/>
      <c r="T126" s="63"/>
      <c r="U126" s="63"/>
      <c r="V126" s="63"/>
      <c r="W126" s="63"/>
      <c r="X126" s="63"/>
      <c r="Y126" s="63"/>
      <c r="Z126" s="63"/>
      <c r="AB126" s="487"/>
      <c r="AC126" s="1163"/>
      <c r="AQ126" s="488"/>
    </row>
    <row r="127" spans="1:43" x14ac:dyDescent="0.2">
      <c r="A127" s="112"/>
      <c r="B127" s="63"/>
      <c r="C127" s="63"/>
      <c r="D127" s="63"/>
      <c r="E127" s="63"/>
      <c r="F127" s="63"/>
      <c r="G127" s="63"/>
      <c r="H127" s="63"/>
      <c r="I127" s="63"/>
      <c r="J127" s="63"/>
      <c r="K127" s="63"/>
      <c r="L127" s="63"/>
      <c r="M127" s="785"/>
      <c r="N127" s="63"/>
      <c r="O127" s="63"/>
      <c r="P127" s="63"/>
      <c r="Q127" s="63"/>
      <c r="R127" s="63"/>
      <c r="S127" s="63"/>
      <c r="T127" s="63"/>
      <c r="U127" s="63"/>
      <c r="V127" s="63"/>
      <c r="W127" s="63"/>
      <c r="X127" s="63"/>
      <c r="Y127" s="63"/>
      <c r="Z127" s="63"/>
      <c r="AB127" s="487"/>
      <c r="AC127" s="1163"/>
      <c r="AQ127" s="488"/>
    </row>
    <row r="128" spans="1:43" x14ac:dyDescent="0.2">
      <c r="A128" s="112"/>
      <c r="B128" s="63"/>
      <c r="C128" s="63"/>
      <c r="D128" s="63"/>
      <c r="E128" s="63"/>
      <c r="F128" s="63"/>
      <c r="G128" s="63"/>
      <c r="H128" s="63"/>
      <c r="I128" s="63"/>
      <c r="J128" s="63"/>
      <c r="K128" s="63"/>
      <c r="L128" s="63"/>
      <c r="M128" s="785"/>
      <c r="N128" s="63"/>
      <c r="O128" s="63"/>
      <c r="P128" s="63"/>
      <c r="Q128" s="63"/>
      <c r="R128" s="63"/>
      <c r="S128" s="63"/>
      <c r="T128" s="63"/>
      <c r="U128" s="63"/>
      <c r="V128" s="63"/>
      <c r="W128" s="63"/>
      <c r="X128" s="63"/>
      <c r="Y128" s="63"/>
      <c r="Z128" s="63"/>
      <c r="AB128" s="487"/>
      <c r="AC128" s="1163"/>
      <c r="AQ128" s="488"/>
    </row>
    <row r="129" spans="1:43" x14ac:dyDescent="0.2">
      <c r="A129" s="112"/>
      <c r="B129" s="63"/>
      <c r="C129" s="63"/>
      <c r="D129" s="63"/>
      <c r="E129" s="63"/>
      <c r="F129" s="63"/>
      <c r="G129" s="63"/>
      <c r="H129" s="63"/>
      <c r="I129" s="63"/>
      <c r="J129" s="63"/>
      <c r="K129" s="63"/>
      <c r="L129" s="63"/>
      <c r="M129" s="785"/>
      <c r="N129" s="63"/>
      <c r="O129" s="63"/>
      <c r="P129" s="63"/>
      <c r="Q129" s="63"/>
      <c r="R129" s="63"/>
      <c r="S129" s="63"/>
      <c r="T129" s="63"/>
      <c r="U129" s="63"/>
      <c r="V129" s="63"/>
      <c r="W129" s="63"/>
      <c r="X129" s="63"/>
      <c r="Y129" s="63"/>
      <c r="Z129" s="63"/>
      <c r="AB129" s="489"/>
      <c r="AC129" s="1164"/>
      <c r="AQ129" s="488"/>
    </row>
    <row r="130" spans="1:43" x14ac:dyDescent="0.2">
      <c r="A130" s="112"/>
      <c r="B130" s="63"/>
      <c r="C130" s="63"/>
      <c r="D130" s="63"/>
      <c r="E130" s="63"/>
      <c r="F130" s="63"/>
      <c r="G130" s="63"/>
      <c r="H130" s="63"/>
      <c r="I130" s="63"/>
      <c r="J130" s="63"/>
      <c r="K130" s="63"/>
      <c r="L130" s="63"/>
      <c r="M130" s="785"/>
      <c r="N130" s="63"/>
      <c r="O130" s="63"/>
      <c r="P130" s="63"/>
      <c r="Q130" s="63"/>
      <c r="R130" s="63"/>
      <c r="S130" s="63"/>
      <c r="T130" s="63"/>
      <c r="U130" s="63"/>
      <c r="V130" s="63"/>
      <c r="W130" s="63"/>
      <c r="X130" s="63"/>
      <c r="Y130" s="63"/>
      <c r="Z130" s="63"/>
      <c r="AB130" s="489"/>
      <c r="AC130" s="1164"/>
    </row>
    <row r="131" spans="1:43" x14ac:dyDescent="0.2">
      <c r="A131" s="63"/>
      <c r="B131" s="63"/>
      <c r="C131" s="63"/>
      <c r="D131" s="63"/>
      <c r="E131" s="63"/>
      <c r="F131" s="63"/>
      <c r="G131" s="63"/>
      <c r="H131" s="63"/>
      <c r="I131" s="63"/>
      <c r="J131" s="63"/>
      <c r="K131" s="63"/>
      <c r="L131" s="63"/>
      <c r="M131" s="785"/>
      <c r="N131" s="63"/>
      <c r="O131" s="63"/>
      <c r="P131" s="63"/>
      <c r="Q131" s="63"/>
      <c r="R131" s="63"/>
      <c r="S131" s="63"/>
      <c r="T131" s="63"/>
      <c r="U131" s="63"/>
      <c r="V131" s="63"/>
      <c r="W131" s="63"/>
      <c r="X131" s="63"/>
      <c r="Y131" s="63"/>
      <c r="Z131" s="63"/>
      <c r="AB131" s="489"/>
      <c r="AC131" s="1164"/>
    </row>
    <row r="132" spans="1:43" x14ac:dyDescent="0.2">
      <c r="A132" s="63"/>
      <c r="B132" s="63"/>
      <c r="C132" s="63"/>
      <c r="D132" s="63"/>
      <c r="E132" s="63"/>
      <c r="F132" s="63"/>
      <c r="G132" s="63"/>
      <c r="H132" s="63"/>
      <c r="I132" s="63"/>
      <c r="J132" s="63"/>
      <c r="K132" s="63"/>
      <c r="L132" s="63"/>
      <c r="M132" s="785"/>
      <c r="N132" s="63"/>
      <c r="O132" s="63"/>
      <c r="P132" s="63"/>
      <c r="Q132" s="63"/>
      <c r="R132" s="63"/>
      <c r="S132" s="63"/>
      <c r="T132" s="63"/>
      <c r="U132" s="63"/>
      <c r="V132" s="63"/>
      <c r="W132" s="63"/>
      <c r="X132" s="63"/>
      <c r="Y132" s="63"/>
      <c r="Z132" s="63"/>
      <c r="AB132" s="489"/>
      <c r="AC132" s="1164"/>
    </row>
    <row r="133" spans="1:43" x14ac:dyDescent="0.2">
      <c r="A133" s="63"/>
      <c r="B133" s="63"/>
      <c r="C133" s="63"/>
      <c r="D133" s="63"/>
      <c r="E133" s="63"/>
      <c r="F133" s="63"/>
      <c r="G133" s="63"/>
      <c r="H133" s="63"/>
      <c r="I133" s="63"/>
      <c r="J133" s="63"/>
      <c r="K133" s="63"/>
      <c r="L133" s="63"/>
      <c r="M133" s="785"/>
      <c r="N133" s="63"/>
      <c r="O133" s="63"/>
      <c r="P133" s="63"/>
      <c r="Q133" s="63"/>
      <c r="R133" s="63"/>
      <c r="S133" s="63"/>
      <c r="T133" s="63"/>
      <c r="U133" s="63"/>
      <c r="V133" s="63"/>
      <c r="W133" s="63"/>
      <c r="X133" s="63"/>
      <c r="Y133" s="63"/>
      <c r="Z133" s="63"/>
      <c r="AB133" s="489"/>
      <c r="AC133" s="1164"/>
    </row>
    <row r="134" spans="1:43" x14ac:dyDescent="0.2">
      <c r="A134" s="63"/>
      <c r="B134" s="63"/>
      <c r="C134" s="63"/>
      <c r="D134" s="63"/>
      <c r="E134" s="63"/>
      <c r="F134" s="63"/>
      <c r="G134" s="63"/>
      <c r="H134" s="63"/>
      <c r="I134" s="63"/>
      <c r="J134" s="63"/>
      <c r="K134" s="63"/>
      <c r="L134" s="63"/>
      <c r="M134" s="785"/>
      <c r="N134" s="63"/>
      <c r="O134" s="63"/>
      <c r="P134" s="63"/>
      <c r="Q134" s="63"/>
      <c r="R134" s="63"/>
      <c r="S134" s="63"/>
      <c r="T134" s="63"/>
      <c r="U134" s="63"/>
      <c r="V134" s="63"/>
      <c r="W134" s="63"/>
      <c r="X134" s="63"/>
      <c r="Y134" s="63"/>
      <c r="Z134" s="63"/>
      <c r="AB134" s="489"/>
      <c r="AC134" s="1164"/>
    </row>
    <row r="135" spans="1:43" x14ac:dyDescent="0.2">
      <c r="A135" s="63"/>
      <c r="B135" s="63"/>
      <c r="C135" s="63"/>
      <c r="D135" s="63"/>
      <c r="E135" s="63"/>
      <c r="F135" s="63"/>
      <c r="G135" s="63"/>
      <c r="H135" s="63"/>
      <c r="I135" s="63"/>
      <c r="J135" s="63"/>
      <c r="K135" s="63"/>
      <c r="L135" s="63"/>
      <c r="M135" s="785"/>
      <c r="N135" s="63"/>
      <c r="O135" s="63"/>
      <c r="P135" s="63"/>
      <c r="Q135" s="63"/>
      <c r="R135" s="63"/>
      <c r="S135" s="63"/>
      <c r="T135" s="63"/>
      <c r="U135" s="63"/>
      <c r="V135" s="63"/>
      <c r="W135" s="63"/>
      <c r="X135" s="63"/>
      <c r="Y135" s="63"/>
      <c r="Z135" s="63"/>
      <c r="AB135" s="489"/>
      <c r="AC135" s="1164"/>
    </row>
    <row r="136" spans="1:43" x14ac:dyDescent="0.2">
      <c r="A136" s="63"/>
      <c r="B136" s="63"/>
      <c r="C136" s="63"/>
      <c r="D136" s="63"/>
      <c r="E136" s="63"/>
      <c r="F136" s="63"/>
      <c r="G136" s="63"/>
      <c r="H136" s="63"/>
      <c r="I136" s="63"/>
      <c r="J136" s="63"/>
      <c r="K136" s="63"/>
      <c r="L136" s="63"/>
      <c r="M136" s="785"/>
      <c r="N136" s="63"/>
      <c r="O136" s="63"/>
      <c r="P136" s="63"/>
      <c r="Q136" s="63"/>
      <c r="R136" s="63"/>
      <c r="S136" s="63"/>
      <c r="T136" s="63"/>
      <c r="U136" s="63"/>
      <c r="V136" s="63"/>
      <c r="W136" s="63"/>
      <c r="X136" s="63"/>
      <c r="Y136" s="63"/>
      <c r="Z136" s="63"/>
      <c r="AB136" s="489"/>
      <c r="AC136" s="1164"/>
    </row>
    <row r="137" spans="1:43" x14ac:dyDescent="0.2">
      <c r="A137" s="63"/>
      <c r="B137" s="63"/>
      <c r="C137" s="63"/>
      <c r="D137" s="63"/>
      <c r="E137" s="63"/>
      <c r="F137" s="63"/>
      <c r="G137" s="63"/>
      <c r="H137" s="63"/>
      <c r="I137" s="63"/>
      <c r="J137" s="63"/>
      <c r="K137" s="63"/>
      <c r="L137" s="63"/>
      <c r="M137" s="785"/>
      <c r="N137" s="63"/>
      <c r="O137" s="63"/>
      <c r="P137" s="63"/>
      <c r="Q137" s="63"/>
      <c r="R137" s="63"/>
      <c r="S137" s="63"/>
      <c r="T137" s="63"/>
      <c r="U137" s="63"/>
      <c r="V137" s="63"/>
      <c r="W137" s="63"/>
      <c r="X137" s="63"/>
      <c r="Y137" s="63"/>
      <c r="Z137" s="63"/>
      <c r="AB137" s="489"/>
      <c r="AC137" s="1164"/>
    </row>
    <row r="138" spans="1:43" x14ac:dyDescent="0.2">
      <c r="A138" s="63"/>
      <c r="B138" s="63"/>
      <c r="C138" s="63"/>
      <c r="D138" s="63"/>
      <c r="E138" s="63"/>
      <c r="F138" s="63"/>
      <c r="G138" s="63"/>
      <c r="H138" s="63"/>
      <c r="I138" s="63"/>
      <c r="J138" s="63"/>
      <c r="K138" s="63"/>
      <c r="L138" s="63"/>
      <c r="M138" s="785"/>
      <c r="N138" s="63"/>
      <c r="O138" s="63"/>
      <c r="P138" s="63"/>
      <c r="Q138" s="63"/>
      <c r="R138" s="63"/>
      <c r="S138" s="63"/>
      <c r="T138" s="63"/>
      <c r="U138" s="63"/>
      <c r="V138" s="63"/>
      <c r="W138" s="63"/>
      <c r="X138" s="63"/>
      <c r="Y138" s="63"/>
      <c r="Z138" s="63"/>
      <c r="AB138" s="489"/>
      <c r="AC138" s="1164"/>
    </row>
    <row r="139" spans="1:43" x14ac:dyDescent="0.2">
      <c r="A139" s="63"/>
      <c r="B139" s="63"/>
      <c r="C139" s="63"/>
      <c r="D139" s="63"/>
      <c r="E139" s="63"/>
      <c r="F139" s="63"/>
      <c r="G139" s="63"/>
      <c r="H139" s="63"/>
      <c r="I139" s="63"/>
      <c r="J139" s="63"/>
      <c r="K139" s="63"/>
      <c r="L139" s="63"/>
      <c r="M139" s="785"/>
      <c r="N139" s="63"/>
      <c r="O139" s="63"/>
      <c r="P139" s="63"/>
      <c r="Q139" s="63"/>
      <c r="R139" s="63"/>
      <c r="S139" s="63"/>
      <c r="T139" s="63"/>
      <c r="U139" s="63"/>
      <c r="V139" s="63"/>
      <c r="W139" s="63"/>
      <c r="X139" s="63"/>
      <c r="Y139" s="63"/>
      <c r="Z139" s="63"/>
      <c r="AB139" s="488"/>
      <c r="AC139" s="1165"/>
    </row>
    <row r="140" spans="1:43" x14ac:dyDescent="0.2">
      <c r="A140" s="63"/>
      <c r="B140" s="63"/>
      <c r="C140" s="63"/>
      <c r="D140" s="63"/>
      <c r="E140" s="63"/>
      <c r="F140" s="63"/>
      <c r="G140" s="63"/>
      <c r="H140" s="63"/>
      <c r="I140" s="63"/>
      <c r="J140" s="63"/>
      <c r="K140" s="63"/>
      <c r="L140" s="63"/>
      <c r="M140" s="785"/>
      <c r="N140" s="63"/>
      <c r="O140" s="63"/>
      <c r="P140" s="63"/>
      <c r="Q140" s="63"/>
      <c r="R140" s="63"/>
      <c r="S140" s="63"/>
      <c r="T140" s="63"/>
      <c r="U140" s="63"/>
      <c r="V140" s="63"/>
      <c r="W140" s="63"/>
      <c r="X140" s="63"/>
      <c r="Y140" s="63"/>
      <c r="Z140" s="63"/>
      <c r="AB140" s="488"/>
      <c r="AC140" s="1165"/>
    </row>
    <row r="141" spans="1:43" x14ac:dyDescent="0.2">
      <c r="A141" s="63"/>
      <c r="B141" s="63"/>
      <c r="C141" s="63"/>
      <c r="D141" s="63"/>
      <c r="E141" s="63"/>
      <c r="F141" s="63"/>
      <c r="G141" s="63"/>
      <c r="H141" s="63"/>
      <c r="I141" s="63"/>
      <c r="J141" s="63"/>
      <c r="K141" s="63"/>
      <c r="L141" s="63"/>
      <c r="M141" s="785"/>
      <c r="N141" s="63"/>
      <c r="O141" s="63"/>
      <c r="P141" s="63"/>
      <c r="Q141" s="63"/>
      <c r="R141" s="63"/>
      <c r="S141" s="63"/>
      <c r="T141" s="63"/>
      <c r="U141" s="63"/>
      <c r="V141" s="63"/>
      <c r="W141" s="63"/>
      <c r="X141" s="63"/>
      <c r="Y141" s="63"/>
      <c r="Z141" s="63"/>
      <c r="AB141" s="488"/>
      <c r="AC141" s="1165"/>
    </row>
    <row r="142" spans="1:43" x14ac:dyDescent="0.2">
      <c r="A142" s="63"/>
      <c r="B142" s="63"/>
      <c r="C142" s="63"/>
      <c r="D142" s="63"/>
      <c r="E142" s="63"/>
      <c r="F142" s="63"/>
      <c r="G142" s="63"/>
      <c r="H142" s="63"/>
      <c r="I142" s="63"/>
      <c r="J142" s="63"/>
      <c r="K142" s="63"/>
      <c r="L142" s="63"/>
      <c r="M142" s="785"/>
      <c r="N142" s="63"/>
      <c r="O142" s="63"/>
      <c r="P142" s="63"/>
      <c r="Q142" s="63"/>
      <c r="R142" s="63"/>
      <c r="S142" s="63"/>
      <c r="T142" s="63"/>
      <c r="U142" s="63"/>
      <c r="V142" s="63"/>
      <c r="W142" s="63"/>
      <c r="X142" s="63"/>
      <c r="Y142" s="63"/>
      <c r="Z142" s="63"/>
      <c r="AB142" s="488"/>
      <c r="AC142" s="1165"/>
    </row>
    <row r="143" spans="1:43" x14ac:dyDescent="0.2">
      <c r="A143" s="63"/>
      <c r="B143" s="63"/>
      <c r="C143" s="63"/>
      <c r="D143" s="63"/>
      <c r="E143" s="63"/>
      <c r="F143" s="63"/>
      <c r="G143" s="63"/>
      <c r="H143" s="63"/>
      <c r="I143" s="63"/>
      <c r="J143" s="63"/>
      <c r="K143" s="63"/>
      <c r="L143" s="63"/>
      <c r="M143" s="785"/>
      <c r="N143" s="63"/>
      <c r="O143" s="63"/>
      <c r="P143" s="63"/>
      <c r="Q143" s="63"/>
      <c r="R143" s="63"/>
      <c r="S143" s="63"/>
      <c r="T143" s="63"/>
      <c r="U143" s="63"/>
      <c r="V143" s="63"/>
      <c r="W143" s="63"/>
      <c r="X143" s="63"/>
      <c r="Y143" s="63"/>
      <c r="Z143" s="63"/>
      <c r="AB143" s="488"/>
      <c r="AC143" s="1165"/>
    </row>
    <row r="144" spans="1:43" x14ac:dyDescent="0.2">
      <c r="A144" s="63"/>
      <c r="B144" s="63"/>
      <c r="C144" s="63"/>
      <c r="D144" s="63"/>
      <c r="E144" s="63"/>
      <c r="F144" s="63"/>
      <c r="G144" s="63"/>
      <c r="H144" s="63"/>
      <c r="I144" s="63"/>
      <c r="J144" s="63"/>
      <c r="K144" s="63"/>
      <c r="L144" s="63"/>
      <c r="M144" s="785"/>
      <c r="N144" s="63"/>
      <c r="O144" s="63"/>
      <c r="P144" s="63"/>
      <c r="Q144" s="63"/>
      <c r="R144" s="63"/>
      <c r="S144" s="63"/>
      <c r="T144" s="63"/>
      <c r="U144" s="63"/>
      <c r="V144" s="63"/>
      <c r="W144" s="63"/>
      <c r="X144" s="63"/>
      <c r="Y144" s="63"/>
      <c r="Z144" s="63"/>
    </row>
    <row r="145" spans="1:26" x14ac:dyDescent="0.2">
      <c r="A145" s="63"/>
      <c r="B145" s="63"/>
      <c r="C145" s="63"/>
      <c r="D145" s="63"/>
      <c r="E145" s="63"/>
      <c r="F145" s="63"/>
      <c r="G145" s="63"/>
      <c r="H145" s="63"/>
      <c r="I145" s="63"/>
      <c r="J145" s="63"/>
      <c r="K145" s="63"/>
      <c r="L145" s="63"/>
      <c r="M145" s="785"/>
      <c r="N145" s="63"/>
      <c r="O145" s="63"/>
      <c r="P145" s="63"/>
      <c r="Q145" s="63"/>
      <c r="R145" s="63"/>
      <c r="S145" s="63"/>
      <c r="T145" s="63"/>
      <c r="U145" s="63"/>
      <c r="V145" s="63"/>
      <c r="W145" s="63"/>
      <c r="X145" s="63"/>
      <c r="Y145" s="63"/>
      <c r="Z145" s="63"/>
    </row>
    <row r="146" spans="1:26" x14ac:dyDescent="0.2">
      <c r="A146" s="63"/>
      <c r="B146" s="63"/>
      <c r="C146" s="63"/>
      <c r="D146" s="63"/>
      <c r="E146" s="63"/>
      <c r="F146" s="63"/>
      <c r="G146" s="63"/>
      <c r="H146" s="63"/>
      <c r="I146" s="63"/>
      <c r="J146" s="63"/>
      <c r="K146" s="63"/>
      <c r="L146" s="63"/>
      <c r="M146" s="785"/>
      <c r="N146" s="63"/>
      <c r="O146" s="63"/>
      <c r="P146" s="63"/>
      <c r="Q146" s="63"/>
      <c r="R146" s="63"/>
      <c r="S146" s="63"/>
      <c r="T146" s="63"/>
      <c r="U146" s="63"/>
      <c r="V146" s="63"/>
      <c r="W146" s="63"/>
      <c r="X146" s="63"/>
      <c r="Y146" s="63"/>
      <c r="Z146" s="63"/>
    </row>
    <row r="147" spans="1:26" x14ac:dyDescent="0.2">
      <c r="A147" s="63"/>
      <c r="B147" s="63"/>
      <c r="C147" s="63"/>
      <c r="D147" s="63"/>
      <c r="E147" s="63"/>
      <c r="F147" s="63"/>
      <c r="G147" s="63"/>
      <c r="H147" s="63"/>
      <c r="I147" s="63"/>
      <c r="J147" s="63"/>
      <c r="K147" s="63"/>
      <c r="L147" s="63"/>
      <c r="M147" s="785"/>
      <c r="N147" s="63"/>
      <c r="O147" s="63"/>
      <c r="P147" s="63"/>
      <c r="Q147" s="63"/>
      <c r="R147" s="63"/>
      <c r="S147" s="63"/>
      <c r="T147" s="63"/>
      <c r="U147" s="63"/>
      <c r="V147" s="63"/>
      <c r="W147" s="63"/>
      <c r="X147" s="63"/>
      <c r="Y147" s="63"/>
      <c r="Z147" s="63"/>
    </row>
    <row r="148" spans="1:26" x14ac:dyDescent="0.2">
      <c r="A148" s="63"/>
      <c r="B148" s="63"/>
      <c r="C148" s="63"/>
      <c r="D148" s="63"/>
      <c r="E148" s="63"/>
      <c r="F148" s="63"/>
      <c r="G148" s="63"/>
      <c r="H148" s="63"/>
      <c r="I148" s="63"/>
      <c r="J148" s="63"/>
      <c r="K148" s="63"/>
      <c r="L148" s="63"/>
      <c r="M148" s="785"/>
      <c r="N148" s="63"/>
      <c r="O148" s="63"/>
      <c r="P148" s="63"/>
      <c r="Q148" s="63"/>
      <c r="R148" s="63"/>
      <c r="S148" s="63"/>
      <c r="T148" s="63"/>
      <c r="U148" s="63"/>
      <c r="V148" s="63"/>
      <c r="W148" s="63"/>
      <c r="X148" s="63"/>
      <c r="Y148" s="63"/>
      <c r="Z148" s="63"/>
    </row>
    <row r="149" spans="1:26" x14ac:dyDescent="0.2">
      <c r="A149" s="63"/>
      <c r="B149" s="63"/>
      <c r="C149" s="63"/>
      <c r="D149" s="63"/>
      <c r="E149" s="63"/>
      <c r="F149" s="63"/>
      <c r="G149" s="63"/>
      <c r="H149" s="63"/>
      <c r="I149" s="63"/>
      <c r="J149" s="63"/>
      <c r="K149" s="63"/>
      <c r="L149" s="63"/>
      <c r="M149" s="785"/>
      <c r="N149" s="63"/>
      <c r="O149" s="63"/>
      <c r="P149" s="63"/>
      <c r="Q149" s="63"/>
      <c r="R149" s="63"/>
      <c r="S149" s="63"/>
      <c r="T149" s="63"/>
      <c r="U149" s="63"/>
      <c r="V149" s="63"/>
      <c r="W149" s="63"/>
      <c r="X149" s="63"/>
      <c r="Y149" s="63"/>
      <c r="Z149" s="63"/>
    </row>
    <row r="150" spans="1:26" x14ac:dyDescent="0.2">
      <c r="A150" s="63"/>
      <c r="B150" s="63"/>
      <c r="C150" s="63"/>
      <c r="D150" s="63"/>
      <c r="E150" s="63"/>
      <c r="F150" s="63"/>
      <c r="G150" s="63"/>
      <c r="H150" s="63"/>
      <c r="I150" s="63"/>
      <c r="J150" s="63"/>
      <c r="K150" s="63"/>
      <c r="L150" s="63"/>
      <c r="M150" s="785"/>
      <c r="N150" s="63"/>
      <c r="O150" s="63"/>
      <c r="P150" s="63"/>
      <c r="Q150" s="63"/>
      <c r="R150" s="63"/>
      <c r="S150" s="63"/>
      <c r="T150" s="63"/>
      <c r="U150" s="63"/>
      <c r="V150" s="63"/>
      <c r="W150" s="63"/>
      <c r="X150" s="63"/>
      <c r="Y150" s="63"/>
      <c r="Z150" s="63"/>
    </row>
    <row r="151" spans="1:26" x14ac:dyDescent="0.2">
      <c r="A151" s="63"/>
      <c r="B151" s="63"/>
      <c r="C151" s="63"/>
      <c r="D151" s="63"/>
      <c r="E151" s="63"/>
      <c r="F151" s="63"/>
      <c r="G151" s="63"/>
      <c r="H151" s="63"/>
      <c r="I151" s="63"/>
      <c r="J151" s="63"/>
      <c r="K151" s="63"/>
      <c r="L151" s="63"/>
      <c r="M151" s="785"/>
      <c r="N151" s="63"/>
      <c r="O151" s="63"/>
      <c r="P151" s="63"/>
      <c r="Q151" s="63"/>
      <c r="R151" s="63"/>
      <c r="S151" s="63"/>
      <c r="T151" s="63"/>
      <c r="U151" s="63"/>
      <c r="V151" s="63"/>
      <c r="W151" s="63"/>
      <c r="X151" s="63"/>
      <c r="Y151" s="63"/>
      <c r="Z151" s="63"/>
    </row>
    <row r="152" spans="1:26" x14ac:dyDescent="0.2">
      <c r="A152" s="63"/>
      <c r="B152" s="63"/>
      <c r="C152" s="63"/>
      <c r="D152" s="63"/>
      <c r="E152" s="63"/>
      <c r="F152" s="63"/>
      <c r="G152" s="63"/>
      <c r="H152" s="63"/>
      <c r="I152" s="63"/>
      <c r="J152" s="63"/>
      <c r="K152" s="63"/>
      <c r="L152" s="63"/>
      <c r="M152" s="785"/>
      <c r="N152" s="63"/>
      <c r="O152" s="63"/>
      <c r="P152" s="63"/>
      <c r="Q152" s="63"/>
      <c r="R152" s="63"/>
      <c r="S152" s="63"/>
      <c r="T152" s="63"/>
      <c r="U152" s="63"/>
      <c r="V152" s="63"/>
      <c r="W152" s="63"/>
      <c r="X152" s="63"/>
      <c r="Y152" s="63"/>
      <c r="Z152" s="63"/>
    </row>
    <row r="153" spans="1:26" x14ac:dyDescent="0.2">
      <c r="A153" s="63"/>
      <c r="B153" s="63"/>
      <c r="C153" s="63"/>
      <c r="D153" s="63"/>
      <c r="E153" s="63"/>
      <c r="F153" s="63"/>
      <c r="G153" s="63"/>
      <c r="H153" s="63"/>
      <c r="I153" s="63"/>
      <c r="J153" s="63"/>
      <c r="K153" s="63"/>
      <c r="L153" s="63"/>
      <c r="M153" s="785"/>
      <c r="N153" s="63"/>
      <c r="O153" s="63"/>
      <c r="P153" s="63"/>
      <c r="Q153" s="63"/>
      <c r="R153" s="63"/>
      <c r="S153" s="63"/>
      <c r="T153" s="63"/>
      <c r="U153" s="63"/>
      <c r="V153" s="63"/>
      <c r="W153" s="63"/>
      <c r="X153" s="63"/>
      <c r="Y153" s="63"/>
      <c r="Z153" s="63"/>
    </row>
  </sheetData>
  <sheetProtection algorithmName="SHA-512" hashValue="2pEHIrTkNZzmv+2cgpsxz0jUZws5Qp3ql/fM6NKhLzxEsuQPZmwqnn2bc3PBprdbTx7WGhbaejbbUgpX1UJS7w==" saltValue="sGL6Xhnq0rS3zUjVMUB0ZQ==" spinCount="100000" sheet="1" objects="1" scenarios="1"/>
  <mergeCells count="11">
    <mergeCell ref="B115:C118"/>
    <mergeCell ref="D115:H118"/>
    <mergeCell ref="B120:D120"/>
    <mergeCell ref="B121:D121"/>
    <mergeCell ref="B5:G5"/>
    <mergeCell ref="I3:Z4"/>
    <mergeCell ref="I5:Z5"/>
    <mergeCell ref="Q7:T7"/>
    <mergeCell ref="B113:H113"/>
    <mergeCell ref="B114:C114"/>
    <mergeCell ref="D114:H114"/>
  </mergeCells>
  <conditionalFormatting sqref="I3:Z4">
    <cfRule type="notContainsBlanks" dxfId="24" priority="1">
      <formula>LEN(TRIM(I3))&gt;0</formula>
    </cfRule>
  </conditionalFormatting>
  <dataValidations count="26">
    <dataValidation allowBlank="1" showInputMessage="1" showErrorMessage="1" promptTitle="If FTE &lt; 1.0:" prompt="If Part-Time position - enter Y in this column_x000a__x000a_If Split Position - enter N in this column AND the Account Number(s) where balance of FTE will be paid from in column (T2)" sqref="AB9"/>
    <dataValidation allowBlank="1" showInputMessage="1" showErrorMessage="1" promptTitle="If column (T1) = N" prompt="Split Position: _x000a_Enter the Account Number where balance of FTE will be paid from next year.  (e.g. 2221-254-233F 0.40). " sqref="AC9"/>
    <dataValidation allowBlank="1" showInputMessage="1" showErrorMessage="1" promptTitle="Merit/Step Increase Date" prompt="This field must be completed._x000a__x000a_Enter the employee's merit date for FY19 in the range 07/01/18 through 06/30/19._x000a__x000a_Enter 07/01/19 if no merit is due next fiscal year." sqref="Q9"/>
    <dataValidation type="list" allowBlank="1" showInputMessage="1" showErrorMessage="1" sqref="G10:G109">
      <formula1>$AP$2:$AP$5</formula1>
    </dataValidation>
    <dataValidation type="list" allowBlank="1" showInputMessage="1" showErrorMessage="1" sqref="F10:F109">
      <formula1>$AO$2:$AO$3</formula1>
    </dataValidation>
    <dataValidation allowBlank="1" showInputMessage="1" showErrorMessage="1" promptTitle="Total Fringe" prompt="On Adjusted Salary amounts." sqref="Z9"/>
    <dataValidation allowBlank="1" showInputMessage="1" showErrorMessage="1" promptTitle="Total Salary Budget" prompt="Total Salary including Merit, plus Special Pay prorated for FTE and Pay Periods on this account_x000a__x000a_The Furlough deduction is not budgeted as it is deducted each pay period through payroll_x000a__x000a_" sqref="X9"/>
    <dataValidation allowBlank="1" showInputMessage="1" showErrorMessage="1" promptTitle="Longevity" prompt="Enter Longevity amount expected to be paid in FY10. _x000a__x000a_Check the Employee Data file distributed to the Division or contact Rose Dawes in HR to verity the longevity amount." sqref="W9"/>
    <dataValidation allowBlank="1" showInputMessage="1" showErrorMessage="1" promptTitle="Calc Sal" prompt="Annual salary (before EPC adjustment) plus merit plus COLA" sqref="U9:V9"/>
    <dataValidation allowBlank="1" showInputMessage="1" showErrorMessage="1" promptTitle="Merit Amount" prompt="Annual Merit at 1.0 FTE calculated based on merit date entered_x000a__x000a_Total Salary includs merit prorated for FTE and Pay Periods" sqref="R9:T9"/>
    <dataValidation allowBlank="1" showInputMessage="1" showErrorMessage="1" promptTitle="Total Annual Salary" prompt="Adds annualized base salary + annualized 5% special pay " sqref="P9"/>
    <dataValidation allowBlank="1" showInputMessage="1" showErrorMessage="1" promptTitle="Special Pay" prompt="If employee receives Special Pay, enter 'I' or 'II' in column G:_x000a_Bilingual Skills_x000a_Shift Differential" sqref="O9"/>
    <dataValidation allowBlank="1" showInputMessage="1" showErrorMessage="1" prompt="Enter grade and step using four digits separated by a dash (e.g., 23-01, 21-08)." sqref="E10:E109 M10:M109"/>
    <dataValidation allowBlank="1" showInputMessage="1" showErrorMessage="1" promptTitle="Pay Per" prompt="Number of bi-monthly Pay periods that the position is projected to be filled next fiscal year." sqref="L9"/>
    <dataValidation allowBlank="1" showInputMessage="1" showErrorMessage="1" promptTitle="Annual Salary" prompt="Looks up annual salary on 'Compsch' sheet for Grade-Step entered" sqref="N9"/>
    <dataValidation allowBlank="1" showInputMessage="1" showErrorMessage="1" promptTitle="Grade Step" prompt="Enter the grade step that the employee will be at on 7/1_x000a_XX-XX format." sqref="M9"/>
    <dataValidation allowBlank="1" showInputMessage="1" showErrorMessage="1" promptTitle="EPC" prompt="If employee is on the Employer-Paid Retirement Contribution (EPC) option, enter &quot;Y&quot; in this cell. Salary will be reduced by the EPC factor and Retirement benefits will be calculated at the higher EPC rate.  _x000a__x000a_For non-EPC employees, leave this cell blank." sqref="F9"/>
    <dataValidation allowBlank="1" showInputMessage="1" showErrorMessage="1" promptTitle="Special Pay" prompt="If employee receives 5% Special Pay(s), select &quot;I&quot; or &quot;II&quot; based on Special Pay received in this cell. 5% of Base Salary for each Special Pay will be calculated in column L for current FY and column AA for next FY._x000a__x000a_Otherwise, leave blank." sqref="G9"/>
    <dataValidation allowBlank="1" showInputMessage="1" showErrorMessage="1" promptTitle="New Hire:" prompt="If this will be a new hire in the next fiscal year enter 'Y' in this field.  For existing employees, including employees transferring from other accounts, leave blank." sqref="I9"/>
    <dataValidation allowBlank="1" showInputMessage="1" showErrorMessage="1" promptTitle="FTE" prompt="Enter portion of 1.0 Full Time Equivalent that employee will be paid from this account.  _x000a__x000a_For less than 1.0 FTE, note if the position is part time or enter the account number(s) where the remaining FTE will be paid from in the Personnel Tracking column." sqref="J9:K9"/>
    <dataValidation allowBlank="1" showInputMessage="1" showErrorMessage="1" promptTitle="Position Number" prompt="List only New positions." sqref="B9"/>
    <dataValidation allowBlank="1" showInputMessage="1" showErrorMessage="1" promptTitle="Position Title" prompt="List OFFICIAL POSITION TITLE per PDQ/Data Warehouse." sqref="C9"/>
    <dataValidation allowBlank="1" showInputMessage="1" showErrorMessage="1" promptTitle="Merit/Step Increase Date" prompt="This field must be completed._x000a__x000a_Enter the employee's merit date for FY18 in the range 07/01/17 through 06/30/18._x000a__x000a_Enter 07/01/18 if no merit is due next fiscal year." sqref="Q8"/>
    <dataValidation type="date" showInputMessage="1" showErrorMessage="1" errorTitle="Date Outside FY" error="Date entered does not fall within the fiscal year. Please correct and enter valid date of record for employee." sqref="Q10:Q109">
      <formula1>44013</formula1>
      <formula2>44378</formula2>
    </dataValidation>
    <dataValidation type="list" allowBlank="1" showInputMessage="1" showErrorMessage="1" sqref="AB10:AB19">
      <formula1>$AQ$2:$AQ$4</formula1>
    </dataValidation>
    <dataValidation allowBlank="1" showInputMessage="1" showErrorMessage="1" promptTitle="Employee Names" prompt="One line per Position Number.  List ALL EMPLOYEES in the position this FY and enter the total combined Pay Periods to calculate the Projected Actual total position expense for this FY._x000a__x000a_Use the highest Base Salary and prorate the pay periods if necessary" sqref="D9"/>
  </dataValidations>
  <printOptions horizontalCentered="1"/>
  <pageMargins left="0" right="0" top="0.5" bottom="0.5" header="0.5" footer="0.5"/>
  <pageSetup scale="69" fitToHeight="1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26</vt:i4>
      </vt:variant>
    </vt:vector>
  </HeadingPairs>
  <TitlesOfParts>
    <vt:vector size="48" baseType="lpstr">
      <vt:lpstr>Review</vt:lpstr>
      <vt:lpstr>SUMMARY FORM</vt:lpstr>
      <vt:lpstr>FORM R1</vt:lpstr>
      <vt:lpstr>FORM R2</vt:lpstr>
      <vt:lpstr>FORM E1</vt:lpstr>
      <vt:lpstr>E1 NEW PN</vt:lpstr>
      <vt:lpstr>E1 GRANT</vt:lpstr>
      <vt:lpstr>FORM E2</vt:lpstr>
      <vt:lpstr>E2 NEW PN</vt:lpstr>
      <vt:lpstr>E2 GRANT</vt:lpstr>
      <vt:lpstr>FORM E3</vt:lpstr>
      <vt:lpstr>FORM E4</vt:lpstr>
      <vt:lpstr>FORM N1</vt:lpstr>
      <vt:lpstr>FORM N2</vt:lpstr>
      <vt:lpstr>Budget Office</vt:lpstr>
      <vt:lpstr>EIB Upload</vt:lpstr>
      <vt:lpstr>Rates</vt:lpstr>
      <vt:lpstr>Lists</vt:lpstr>
      <vt:lpstr>MeritSch</vt:lpstr>
      <vt:lpstr>Compsch</vt:lpstr>
      <vt:lpstr>Acct Detail</vt:lpstr>
      <vt:lpstr>Budget Revision Form</vt:lpstr>
      <vt:lpstr>CHANGES</vt:lpstr>
      <vt:lpstr>'Budget Office'!Print_Area</vt:lpstr>
      <vt:lpstr>'Budget Revision Form'!Print_Area</vt:lpstr>
      <vt:lpstr>'E1 GRANT'!Print_Area</vt:lpstr>
      <vt:lpstr>'E1 NEW PN'!Print_Area</vt:lpstr>
      <vt:lpstr>'E2 GRANT'!Print_Area</vt:lpstr>
      <vt:lpstr>'E2 NEW PN'!Print_Area</vt:lpstr>
      <vt:lpstr>'FORM E1'!Print_Area</vt:lpstr>
      <vt:lpstr>'FORM E2'!Print_Area</vt:lpstr>
      <vt:lpstr>'FORM E3'!Print_Area</vt:lpstr>
      <vt:lpstr>'FORM E4'!Print_Area</vt:lpstr>
      <vt:lpstr>'FORM N1'!Print_Area</vt:lpstr>
      <vt:lpstr>'FORM N2'!Print_Area</vt:lpstr>
      <vt:lpstr>'FORM R1'!Print_Area</vt:lpstr>
      <vt:lpstr>'FORM R2'!Print_Area</vt:lpstr>
      <vt:lpstr>Rates!Print_Area</vt:lpstr>
      <vt:lpstr>'SUMMARY FORM'!Print_Area</vt:lpstr>
      <vt:lpstr>Print_Area_MI</vt:lpstr>
      <vt:lpstr>'E1 GRANT'!Print_Titles</vt:lpstr>
      <vt:lpstr>'E1 NEW PN'!Print_Titles</vt:lpstr>
      <vt:lpstr>'E2 GRANT'!Print_Titles</vt:lpstr>
      <vt:lpstr>'E2 NEW PN'!Print_Titles</vt:lpstr>
      <vt:lpstr>'FORM E1'!Print_Titles</vt:lpstr>
      <vt:lpstr>'FORM E2'!Print_Titles</vt:lpstr>
      <vt:lpstr>'FORM N2'!Print_Titles</vt:lpstr>
      <vt:lpstr>Rates!Print_Titles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Self Supporting Budget Request - Form 1</dc:title>
  <dc:creator>Authorized Gateway Customer</dc:creator>
  <cp:lastModifiedBy>Megan Gerke</cp:lastModifiedBy>
  <cp:lastPrinted>2020-01-10T18:50:16Z</cp:lastPrinted>
  <dcterms:created xsi:type="dcterms:W3CDTF">1998-01-21T18:25:41Z</dcterms:created>
  <dcterms:modified xsi:type="dcterms:W3CDTF">2020-03-19T21:08:17Z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